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2.xml" ContentType="application/vnd.openxmlformats-officedocument.spreadsheetml.pivotTab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hidePivotFieldList="1"/>
  <mc:AlternateContent xmlns:mc="http://schemas.openxmlformats.org/markup-compatibility/2006">
    <mc:Choice Requires="x15">
      <x15ac:absPath xmlns:x15ac="http://schemas.microsoft.com/office/spreadsheetml/2010/11/ac" url="https://guichetcpts.sharepoint.com/sites/espacedetravail/Documents partages/NEW_Sharepoint_2025/1. CPTS/1. ACCOMPAGNEMENT_CPTS/1. OUTILS_CPTS/2. Médiathèque_CPTS/6. Guides/2026_Budget/"/>
    </mc:Choice>
  </mc:AlternateContent>
  <xr:revisionPtr revIDLastSave="2293" documentId="11_AD4D9D64A577C15A4A5418AE28DB7C7E5BDEDD8B" xr6:coauthVersionLast="47" xr6:coauthVersionMax="47" xr10:uidLastSave="{8FBF8224-EF4E-497C-A4A2-A1CA5A2809D6}"/>
  <bookViews>
    <workbookView xWindow="-110" yWindow="-110" windowWidth="19420" windowHeight="11500" xr2:uid="{00000000-000D-0000-FFFF-FFFF00000000}"/>
  </bookViews>
  <sheets>
    <sheet name="Notice d'utilisation" sheetId="19" r:id="rId1"/>
    <sheet name="FAQ" sheetId="20" r:id="rId2"/>
    <sheet name="Registre des transactions" sheetId="3" r:id="rId3"/>
    <sheet name="Plan de trésorerie" sheetId="9" r:id="rId4"/>
    <sheet name="Budget réel" sheetId="11" r:id="rId5"/>
    <sheet name="Listes" sheetId="4" r:id="rId6"/>
    <sheet name="Budget prévisionnel taille 1" sheetId="15" r:id="rId7"/>
    <sheet name="Budget prévisionnel taille 2" sheetId="16" r:id="rId8"/>
    <sheet name="Budget prévisionnel taille 3" sheetId="17" r:id="rId9"/>
    <sheet name="Budget prévisionnel taille 4" sheetId="18" r:id="rId10"/>
  </sheets>
  <definedNames>
    <definedName name="_xlnm._FilterDatabase" localSheetId="4" hidden="1">'Budget réel'!$K$14:$K$30</definedName>
    <definedName name="_xlnm._FilterDatabase" localSheetId="5" hidden="1">Listes!$C$1:$E$24</definedName>
    <definedName name="_xlnm._FilterDatabase" localSheetId="2" hidden="1">'Registre des transactions'!$A$1:$K$54</definedName>
  </definedNames>
  <calcPr calcId="191029" calcCompleted="0"/>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3" l="1"/>
  <c r="G54" i="3"/>
  <c r="H54" i="3" s="1"/>
  <c r="C53" i="3"/>
  <c r="G53" i="3"/>
  <c r="H53" i="3" s="1"/>
  <c r="C52" i="3"/>
  <c r="G52" i="3"/>
  <c r="H52" i="3" s="1"/>
  <c r="C51" i="3"/>
  <c r="G51" i="3"/>
  <c r="H51" i="3" s="1"/>
  <c r="C50" i="3"/>
  <c r="G50" i="3"/>
  <c r="H50" i="3" s="1"/>
  <c r="C49" i="3"/>
  <c r="G49" i="3"/>
  <c r="H49" i="3" s="1"/>
  <c r="C5" i="3"/>
  <c r="G5" i="3"/>
  <c r="H5" i="3" s="1"/>
  <c r="C6" i="3"/>
  <c r="G6" i="3"/>
  <c r="H6" i="3" s="1"/>
  <c r="C7" i="3"/>
  <c r="G7" i="3"/>
  <c r="H7" i="3" s="1"/>
  <c r="C8" i="3"/>
  <c r="G8" i="3"/>
  <c r="H8" i="3" s="1"/>
  <c r="C9" i="3"/>
  <c r="G9" i="3"/>
  <c r="H9" i="3" s="1"/>
  <c r="C10" i="3"/>
  <c r="G10" i="3"/>
  <c r="H10" i="3" s="1"/>
  <c r="C11" i="3"/>
  <c r="G11" i="3"/>
  <c r="H11" i="3" s="1"/>
  <c r="C12" i="3"/>
  <c r="G12" i="3"/>
  <c r="H12" i="3" s="1"/>
  <c r="C13" i="3"/>
  <c r="G13" i="3"/>
  <c r="H13" i="3" s="1"/>
  <c r="C14" i="3"/>
  <c r="G14" i="3"/>
  <c r="H14" i="3" s="1"/>
  <c r="C15" i="3"/>
  <c r="G15" i="3"/>
  <c r="H15" i="3" s="1"/>
  <c r="C16" i="3"/>
  <c r="G16" i="3"/>
  <c r="H16" i="3" s="1"/>
  <c r="C17" i="3"/>
  <c r="G17" i="3"/>
  <c r="H17" i="3" s="1"/>
  <c r="C18" i="3"/>
  <c r="G18" i="3"/>
  <c r="H18" i="3" s="1"/>
  <c r="C19" i="3"/>
  <c r="G19" i="3"/>
  <c r="H19" i="3" s="1"/>
  <c r="C20" i="3"/>
  <c r="G20" i="3"/>
  <c r="H20" i="3" s="1"/>
  <c r="C21" i="3"/>
  <c r="G21" i="3"/>
  <c r="H21" i="3" s="1"/>
  <c r="C22" i="3"/>
  <c r="G22" i="3"/>
  <c r="H22" i="3" s="1"/>
  <c r="C23" i="3"/>
  <c r="G23" i="3"/>
  <c r="H23" i="3" s="1"/>
  <c r="C24" i="3"/>
  <c r="G24" i="3"/>
  <c r="H24" i="3" s="1"/>
  <c r="C25" i="3"/>
  <c r="G25" i="3"/>
  <c r="H25" i="3" s="1"/>
  <c r="C26" i="3"/>
  <c r="G26" i="3"/>
  <c r="H26" i="3" s="1"/>
  <c r="C27" i="3"/>
  <c r="G27" i="3"/>
  <c r="H27" i="3" s="1"/>
  <c r="C28" i="3"/>
  <c r="G28" i="3"/>
  <c r="H28" i="3" s="1"/>
  <c r="C29" i="3"/>
  <c r="G29" i="3"/>
  <c r="H29" i="3" s="1"/>
  <c r="C30" i="3"/>
  <c r="G30" i="3"/>
  <c r="H30" i="3" s="1"/>
  <c r="C31" i="3"/>
  <c r="G31" i="3"/>
  <c r="H31" i="3" s="1"/>
  <c r="C32" i="3"/>
  <c r="G32" i="3"/>
  <c r="H32" i="3" s="1"/>
  <c r="C33" i="3"/>
  <c r="G33" i="3"/>
  <c r="H33" i="3" s="1"/>
  <c r="C34" i="3"/>
  <c r="G34" i="3"/>
  <c r="H34" i="3" s="1"/>
  <c r="C35" i="3"/>
  <c r="G35" i="3"/>
  <c r="H35" i="3" s="1"/>
  <c r="C36" i="3"/>
  <c r="G36" i="3"/>
  <c r="H36" i="3" s="1"/>
  <c r="C37" i="3"/>
  <c r="G37" i="3"/>
  <c r="H37" i="3" s="1"/>
  <c r="C38" i="3"/>
  <c r="G38" i="3"/>
  <c r="H38" i="3" s="1"/>
  <c r="C39" i="3"/>
  <c r="G39" i="3"/>
  <c r="H39" i="3" s="1"/>
  <c r="C40" i="3"/>
  <c r="G40" i="3"/>
  <c r="H40" i="3" s="1"/>
  <c r="C41" i="3"/>
  <c r="G41" i="3"/>
  <c r="H41" i="3" s="1"/>
  <c r="C42" i="3"/>
  <c r="G42" i="3"/>
  <c r="H42" i="3" s="1"/>
  <c r="C43" i="3"/>
  <c r="G43" i="3"/>
  <c r="H43" i="3" s="1"/>
  <c r="C44" i="3"/>
  <c r="G44" i="3"/>
  <c r="H44" i="3" s="1"/>
  <c r="C45" i="3"/>
  <c r="G45" i="3"/>
  <c r="H45" i="3" s="1"/>
  <c r="C46" i="3"/>
  <c r="G46" i="3"/>
  <c r="H46" i="3" s="1"/>
  <c r="C47" i="3"/>
  <c r="G47" i="3"/>
  <c r="H47" i="3" s="1"/>
  <c r="C48" i="3"/>
  <c r="G48" i="3"/>
  <c r="H48" i="3" s="1"/>
  <c r="I27" i="18"/>
  <c r="H27" i="18"/>
  <c r="G27" i="18"/>
  <c r="F27" i="18"/>
  <c r="E27" i="18"/>
  <c r="D27" i="18"/>
  <c r="C27" i="18"/>
  <c r="J26" i="18"/>
  <c r="J25" i="18"/>
  <c r="J24" i="18"/>
  <c r="J23" i="18"/>
  <c r="J22" i="18"/>
  <c r="J21" i="18"/>
  <c r="J20" i="18"/>
  <c r="J27" i="18" s="1"/>
  <c r="J19" i="18"/>
  <c r="J18" i="18"/>
  <c r="J17" i="18"/>
  <c r="J16" i="18"/>
  <c r="I15" i="18"/>
  <c r="I29" i="18" s="1"/>
  <c r="H15" i="18"/>
  <c r="H29" i="18" s="1"/>
  <c r="G15" i="18"/>
  <c r="G29" i="18" s="1"/>
  <c r="F15" i="18"/>
  <c r="F29" i="18" s="1"/>
  <c r="E15" i="18"/>
  <c r="E29" i="18" s="1"/>
  <c r="D15" i="18"/>
  <c r="D29" i="18" s="1"/>
  <c r="C15" i="18"/>
  <c r="C29" i="18" s="1"/>
  <c r="J14" i="18"/>
  <c r="J13" i="18"/>
  <c r="J12" i="18"/>
  <c r="J11" i="18"/>
  <c r="J10" i="18"/>
  <c r="J15" i="18" s="1"/>
  <c r="J29" i="18" s="1"/>
  <c r="I9" i="18"/>
  <c r="H9" i="18"/>
  <c r="G9" i="18"/>
  <c r="F9" i="18"/>
  <c r="E9" i="18"/>
  <c r="D9" i="18"/>
  <c r="C9" i="18"/>
  <c r="J8" i="18"/>
  <c r="J7" i="18"/>
  <c r="J6" i="18"/>
  <c r="J5" i="18"/>
  <c r="J4" i="18"/>
  <c r="J3" i="18"/>
  <c r="J2" i="18"/>
  <c r="J9" i="18" s="1"/>
  <c r="J27" i="17"/>
  <c r="I27" i="17"/>
  <c r="H27" i="17"/>
  <c r="G27" i="17"/>
  <c r="F27" i="17"/>
  <c r="E27" i="17"/>
  <c r="D27" i="17"/>
  <c r="C27" i="17"/>
  <c r="J26" i="17"/>
  <c r="J25" i="17"/>
  <c r="J24" i="17"/>
  <c r="J23" i="17"/>
  <c r="J22" i="17"/>
  <c r="J21" i="17"/>
  <c r="J20" i="17"/>
  <c r="J19" i="17"/>
  <c r="J18" i="17"/>
  <c r="J17" i="17"/>
  <c r="J16" i="17"/>
  <c r="I15" i="17"/>
  <c r="I29" i="17" s="1"/>
  <c r="H15" i="17"/>
  <c r="H29" i="17" s="1"/>
  <c r="G15" i="17"/>
  <c r="G29" i="17" s="1"/>
  <c r="F15" i="17"/>
  <c r="F29" i="17" s="1"/>
  <c r="E15" i="17"/>
  <c r="E29" i="17" s="1"/>
  <c r="D15" i="17"/>
  <c r="D29" i="17" s="1"/>
  <c r="C15" i="17"/>
  <c r="C29" i="17" s="1"/>
  <c r="J14" i="17"/>
  <c r="J15" i="17" s="1"/>
  <c r="J29" i="17" s="1"/>
  <c r="J13" i="17"/>
  <c r="J12" i="17"/>
  <c r="J11" i="17"/>
  <c r="J10" i="17"/>
  <c r="I9" i="17"/>
  <c r="H9" i="17"/>
  <c r="G9" i="17"/>
  <c r="F9" i="17"/>
  <c r="F30" i="17" s="1"/>
  <c r="E9" i="17"/>
  <c r="E30" i="17" s="1"/>
  <c r="D9" i="17"/>
  <c r="D30" i="17" s="1"/>
  <c r="C9" i="17"/>
  <c r="C30" i="17" s="1"/>
  <c r="J8" i="17"/>
  <c r="J7" i="17"/>
  <c r="J6" i="17"/>
  <c r="J5" i="17"/>
  <c r="J4" i="17"/>
  <c r="J3" i="17"/>
  <c r="J2" i="17"/>
  <c r="J9" i="17" s="1"/>
  <c r="J27" i="16"/>
  <c r="I27" i="16"/>
  <c r="H27" i="16"/>
  <c r="G27" i="16"/>
  <c r="F27" i="16"/>
  <c r="E27" i="16"/>
  <c r="D27" i="16"/>
  <c r="C27" i="16"/>
  <c r="J26" i="16"/>
  <c r="J25" i="16"/>
  <c r="J24" i="16"/>
  <c r="J23" i="16"/>
  <c r="J22" i="16"/>
  <c r="J21" i="16"/>
  <c r="J20" i="16"/>
  <c r="J19" i="16"/>
  <c r="J18" i="16"/>
  <c r="J17" i="16"/>
  <c r="J16" i="16"/>
  <c r="I15" i="16"/>
  <c r="I29" i="16" s="1"/>
  <c r="H15" i="16"/>
  <c r="H29" i="16" s="1"/>
  <c r="G15" i="16"/>
  <c r="G29" i="16" s="1"/>
  <c r="F15" i="16"/>
  <c r="F29" i="16" s="1"/>
  <c r="E15" i="16"/>
  <c r="E29" i="16" s="1"/>
  <c r="D15" i="16"/>
  <c r="D29" i="16" s="1"/>
  <c r="C15" i="16"/>
  <c r="C29" i="16" s="1"/>
  <c r="J14" i="16"/>
  <c r="J15" i="16" s="1"/>
  <c r="J29" i="16" s="1"/>
  <c r="J13" i="16"/>
  <c r="J12" i="16"/>
  <c r="J11" i="16"/>
  <c r="J10" i="16"/>
  <c r="I9" i="16"/>
  <c r="H9" i="16"/>
  <c r="G9" i="16"/>
  <c r="F9" i="16"/>
  <c r="F30" i="16" s="1"/>
  <c r="E9" i="16"/>
  <c r="E30" i="16" s="1"/>
  <c r="D9" i="16"/>
  <c r="D30" i="16" s="1"/>
  <c r="C9" i="16"/>
  <c r="C30" i="16" s="1"/>
  <c r="J8" i="16"/>
  <c r="J7" i="16"/>
  <c r="J6" i="16"/>
  <c r="J5" i="16"/>
  <c r="J4" i="16"/>
  <c r="J3" i="16"/>
  <c r="J2" i="16"/>
  <c r="J9" i="16" s="1"/>
  <c r="C9" i="15"/>
  <c r="J17" i="15"/>
  <c r="J18" i="15"/>
  <c r="J19" i="15"/>
  <c r="J20" i="15"/>
  <c r="J21" i="15"/>
  <c r="J22" i="15"/>
  <c r="J23" i="15"/>
  <c r="J24" i="15"/>
  <c r="J25" i="15"/>
  <c r="J26" i="15"/>
  <c r="J16" i="15"/>
  <c r="D27" i="15"/>
  <c r="E27" i="15"/>
  <c r="F27" i="15"/>
  <c r="G27" i="15"/>
  <c r="H27" i="15"/>
  <c r="I27" i="15"/>
  <c r="C27" i="15"/>
  <c r="J10" i="15"/>
  <c r="D15" i="15"/>
  <c r="D29" i="15" s="1"/>
  <c r="D30" i="15" s="1"/>
  <c r="E15" i="15"/>
  <c r="E29" i="15" s="1"/>
  <c r="E30" i="15" s="1"/>
  <c r="F15" i="15"/>
  <c r="F29" i="15" s="1"/>
  <c r="F30" i="15" s="1"/>
  <c r="G15" i="15"/>
  <c r="H15" i="15"/>
  <c r="I15" i="15"/>
  <c r="C15" i="15"/>
  <c r="J11" i="15"/>
  <c r="J12" i="15"/>
  <c r="J13" i="15"/>
  <c r="J14" i="15"/>
  <c r="J3" i="15"/>
  <c r="J4" i="15"/>
  <c r="J9" i="15" s="1"/>
  <c r="J5" i="15"/>
  <c r="J6" i="15"/>
  <c r="J7" i="15"/>
  <c r="J8" i="15"/>
  <c r="J2" i="15"/>
  <c r="D9" i="15"/>
  <c r="E9" i="15"/>
  <c r="F9" i="15"/>
  <c r="G9" i="15"/>
  <c r="H9" i="15"/>
  <c r="I9" i="15"/>
  <c r="C4" i="3"/>
  <c r="G4" i="3"/>
  <c r="H4" i="3" s="1"/>
  <c r="C3" i="3"/>
  <c r="G3" i="3"/>
  <c r="H3" i="3" s="1"/>
  <c r="G2" i="3"/>
  <c r="H2" i="3" s="1"/>
  <c r="I35" i="11"/>
  <c r="H35" i="11"/>
  <c r="G35" i="11"/>
  <c r="B35" i="11"/>
  <c r="F35" i="11"/>
  <c r="E35" i="11"/>
  <c r="D35" i="11"/>
  <c r="C35" i="11"/>
  <c r="K23" i="9"/>
  <c r="L23" i="9"/>
  <c r="J23" i="9"/>
  <c r="I23" i="9"/>
  <c r="H23" i="9"/>
  <c r="G23" i="9"/>
  <c r="F23" i="9"/>
  <c r="D23" i="9"/>
  <c r="B23" i="9"/>
  <c r="E23" i="9"/>
  <c r="C23" i="9"/>
  <c r="B24" i="9" l="1"/>
  <c r="C24" i="9" s="1"/>
  <c r="D24" i="9" s="1"/>
  <c r="E24" i="9" s="1"/>
  <c r="F24" i="9" s="1"/>
  <c r="G24" i="9" s="1"/>
  <c r="H24" i="9" s="1"/>
  <c r="I24" i="9" s="1"/>
  <c r="J24" i="9" s="1"/>
  <c r="K24" i="9" s="1"/>
  <c r="L24" i="9" s="1"/>
  <c r="J15" i="15"/>
  <c r="E30" i="18"/>
  <c r="D30" i="18"/>
  <c r="C30" i="18"/>
  <c r="F30" i="18"/>
  <c r="G30" i="18"/>
  <c r="H30" i="18"/>
  <c r="I30" i="18"/>
  <c r="J30" i="18"/>
  <c r="G30" i="17"/>
  <c r="H30" i="17"/>
  <c r="I30" i="17"/>
  <c r="J30" i="17"/>
  <c r="G30" i="16"/>
  <c r="H30" i="16"/>
  <c r="I30" i="16"/>
  <c r="J30" i="16"/>
  <c r="J27" i="15"/>
  <c r="C29" i="15"/>
  <c r="C30" i="15" s="1"/>
  <c r="I29" i="15"/>
  <c r="I30" i="15" s="1"/>
  <c r="H29" i="15"/>
  <c r="H30" i="15" s="1"/>
  <c r="G29" i="15"/>
  <c r="G30" i="15" s="1"/>
  <c r="C2" i="3"/>
  <c r="F36" i="11"/>
  <c r="B36" i="11"/>
  <c r="G36" i="11"/>
  <c r="H36" i="11"/>
  <c r="I36" i="11"/>
  <c r="C36" i="11"/>
  <c r="D36" i="11"/>
  <c r="E36" i="11"/>
  <c r="J29" i="15" l="1"/>
  <c r="J30"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tc={927B2F99-21E7-4BA9-9D87-80A7C55EB0E3}</author>
    <author>tc={B1B5B4B2-CE3F-4C30-872B-AD61F3547544}</author>
    <author>tc={1D2961B8-F775-49E7-A8E3-7B238A3B11E0}</author>
    <author>tc={19133D1E-5B48-47A1-B547-41D48B1C8057}</author>
  </authors>
  <commentList>
    <comment ref="C6" authorId="0" shapeId="0" xr:uid="{927B2F99-21E7-4BA9-9D87-80A7C55EB0E3}">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Logiciels, opérateurs internet...</t>
      </text>
    </comment>
    <comment ref="C13" authorId="1" shapeId="0" xr:uid="{B1B5B4B2-CE3F-4C30-872B-AD61F354754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Toutes les fournitures ne relevant pas du mobilier et des objets faisant l’objet d’amortissements comptables. (Exemples : stylos, trieurs, paper board…)</t>
      </text>
    </comment>
    <comment ref="C16" authorId="2" shapeId="0" xr:uid="{1D2961B8-F775-49E7-A8E3-7B238A3B11E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Tous les objets durables qui peuvent recevoir un amortissement comptable (bureau, ordinateur, chaises…)</t>
      </text>
    </comment>
    <comment ref="C20" authorId="3" shapeId="0" xr:uid="{19133D1E-5B48-47A1-B547-41D48B1C805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 sont les fonds de l’année précédente qui n’ont pas été utilisés et reportés dans les mêmes enveloppes l’année suivante. Si vous avez plusieurs enveloppes positives en fin d’année, il sera nécessaire de reporter ces fonds sur les mêmes enveloppes l’année suivante. Pour ce faire, dans le registre des dépenses, indiquez le montant et associer l’enveloppe où le fond doit être reporté.</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tc={EE6D1E89-9E08-4D84-879C-41E39DBDB361}</author>
    <author>Loïc Faugères</author>
  </authors>
  <commentList>
    <comment ref="G2" authorId="0" shapeId="0" xr:uid="{EE6D1E89-9E08-4D84-879C-41E39DBDB36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Ou 12500 si vous êtes après la première année.</t>
      </text>
    </comment>
    <comment ref="J30" authorId="1" shapeId="0" xr:uid="{344834F4-96A8-4387-8C08-88F507AF0731}">
      <text>
        <r>
          <rPr>
            <b/>
            <sz val="9"/>
            <color indexed="81"/>
            <rFont val="Tahoma"/>
            <charset val="1"/>
          </rPr>
          <t>Loïc Faugères:</t>
        </r>
        <r>
          <rPr>
            <sz val="9"/>
            <color indexed="81"/>
            <rFont val="Tahoma"/>
            <charset val="1"/>
          </rPr>
          <t xml:space="preserve">
Le montant total doit tendre vers 0 car les associations visent à égaliser leurs ressources et leurs dépenses.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tc={7538CFE1-C77B-45C0-942E-F1A3C7ABDD72}</author>
    <author>Loïc Faugères</author>
  </authors>
  <commentList>
    <comment ref="G2" authorId="0" shapeId="0" xr:uid="{7538CFE1-C77B-45C0-942E-F1A3C7ABDD7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Ou 17500€ si vous êtes après la première année.</t>
      </text>
    </comment>
    <comment ref="J30" authorId="1" shapeId="0" xr:uid="{3CF3057E-0554-4875-9AD4-B7D782649EC5}">
      <text>
        <r>
          <rPr>
            <b/>
            <sz val="9"/>
            <color indexed="81"/>
            <rFont val="Tahoma"/>
            <charset val="1"/>
          </rPr>
          <t>Loïc Faugères:</t>
        </r>
        <r>
          <rPr>
            <sz val="9"/>
            <color indexed="81"/>
            <rFont val="Tahoma"/>
            <charset val="1"/>
          </rPr>
          <t xml:space="preserve">
Le montant total doit tendre vers 0 car les associations visent à égaliser leurs ressources et leurs dépenses.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tc={13BC4EEA-771E-4FAA-8E19-05F8BC7BA909}</author>
    <author>Loïc Faugères</author>
  </authors>
  <commentList>
    <comment ref="G2" authorId="0" shapeId="0" xr:uid="{13BC4EEA-771E-4FAA-8E19-05F8BC7BA90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Ou 22500€ si vous êtes après la première année.</t>
      </text>
    </comment>
    <comment ref="J30" authorId="1" shapeId="0" xr:uid="{954490AC-919D-4D04-9BF7-FB820BEE3E04}">
      <text>
        <r>
          <rPr>
            <b/>
            <sz val="9"/>
            <color indexed="81"/>
            <rFont val="Tahoma"/>
            <charset val="1"/>
          </rPr>
          <t>Loïc Faugères:</t>
        </r>
        <r>
          <rPr>
            <sz val="9"/>
            <color indexed="81"/>
            <rFont val="Tahoma"/>
            <charset val="1"/>
          </rPr>
          <t xml:space="preserve">
Le montant total doit tendre vers 0 car les associations visent à égaliser leurs ressources et leurs dépenses.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tc={EBB58099-E102-4583-BB75-71F89B39B2FB}</author>
    <author>Loïc Faugères</author>
  </authors>
  <commentList>
    <comment ref="G2" authorId="0" shapeId="0" xr:uid="{EBB58099-E102-4583-BB75-71F89B39B2F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Ou 25000€ si vous êtes après la première année.</t>
      </text>
    </comment>
    <comment ref="J30" authorId="1" shapeId="0" xr:uid="{4372D7F6-975A-417E-A581-694EBBE17287}">
      <text>
        <r>
          <rPr>
            <b/>
            <sz val="9"/>
            <color indexed="81"/>
            <rFont val="Tahoma"/>
            <charset val="1"/>
          </rPr>
          <t>Loïc Faugères:</t>
        </r>
        <r>
          <rPr>
            <sz val="9"/>
            <color indexed="81"/>
            <rFont val="Tahoma"/>
            <charset val="1"/>
          </rPr>
          <t xml:space="preserve">
Le montant total doit tendre vers 0 car les associations visent à égaliser leurs ressources et leurs dépenses.</t>
        </r>
      </text>
    </comment>
  </commentList>
</comments>
</file>

<file path=xl/sharedStrings.xml><?xml version="1.0" encoding="utf-8"?>
<sst xmlns="http://schemas.openxmlformats.org/spreadsheetml/2006/main" count="513" uniqueCount="110">
  <si>
    <t>Fonctionnement</t>
  </si>
  <si>
    <t>Mission 1</t>
  </si>
  <si>
    <t>Mission 2</t>
  </si>
  <si>
    <t>Mission 3</t>
  </si>
  <si>
    <t>Mission 4</t>
  </si>
  <si>
    <t>Mission 5</t>
  </si>
  <si>
    <t>Mission 6</t>
  </si>
  <si>
    <t>Financement fixe ACI</t>
  </si>
  <si>
    <t>Financement variable ACI</t>
  </si>
  <si>
    <t>Fonds dédiés</t>
  </si>
  <si>
    <t>Ressources</t>
  </si>
  <si>
    <t>Financements externes</t>
  </si>
  <si>
    <t>Adhésions</t>
  </si>
  <si>
    <t>Salaires</t>
  </si>
  <si>
    <t>Loyer</t>
  </si>
  <si>
    <t>Assurances</t>
  </si>
  <si>
    <t>Charges fixes</t>
  </si>
  <si>
    <t>Charges variables</t>
  </si>
  <si>
    <t>Frais de déplacement</t>
  </si>
  <si>
    <t>Location</t>
  </si>
  <si>
    <t>Communication</t>
  </si>
  <si>
    <t>Formation</t>
  </si>
  <si>
    <t>Date</t>
  </si>
  <si>
    <t>Libellé</t>
  </si>
  <si>
    <t>Montant</t>
  </si>
  <si>
    <t>Action</t>
  </si>
  <si>
    <t>Evenement</t>
  </si>
  <si>
    <t>Réunion de bureau</t>
  </si>
  <si>
    <t>Rencontre hôpital</t>
  </si>
  <si>
    <t>Parcours IC</t>
  </si>
  <si>
    <t>Traiteur</t>
  </si>
  <si>
    <t>AG</t>
  </si>
  <si>
    <t>Location de salle</t>
  </si>
  <si>
    <t>Matinée dépistage cancer</t>
  </si>
  <si>
    <t>Dépistage cancer</t>
  </si>
  <si>
    <t>Marché de Montpellier</t>
  </si>
  <si>
    <t>Groupe de travail accès MT</t>
  </si>
  <si>
    <t>Salaire coordinateur</t>
  </si>
  <si>
    <t>Type</t>
  </si>
  <si>
    <t>Frais de bouche</t>
  </si>
  <si>
    <t>Enveloppes</t>
  </si>
  <si>
    <t>Gestion ligne téléphonique</t>
  </si>
  <si>
    <t>Catégorie</t>
  </si>
  <si>
    <t>Financement ACI</t>
  </si>
  <si>
    <t>Formation RGPD</t>
  </si>
  <si>
    <t>Formation PS</t>
  </si>
  <si>
    <t>Encaissement</t>
  </si>
  <si>
    <t>Décaissement</t>
  </si>
  <si>
    <t>Mois</t>
  </si>
  <si>
    <t>Étiquettes de lignes</t>
  </si>
  <si>
    <t>Total général</t>
  </si>
  <si>
    <t>janv</t>
  </si>
  <si>
    <t>févr</t>
  </si>
  <si>
    <t>juin</t>
  </si>
  <si>
    <t>juil</t>
  </si>
  <si>
    <t>août</t>
  </si>
  <si>
    <t>sept</t>
  </si>
  <si>
    <t>oct</t>
  </si>
  <si>
    <t>nov</t>
  </si>
  <si>
    <t>déc</t>
  </si>
  <si>
    <t>Somme de Montant</t>
  </si>
  <si>
    <t>SOLDE MENSUEL</t>
  </si>
  <si>
    <t>SOLDE CUMULE</t>
  </si>
  <si>
    <t>Groupe de travail parcours IC</t>
  </si>
  <si>
    <t>Revenus adhésions</t>
  </si>
  <si>
    <t>Fonds dédiés mission 1</t>
  </si>
  <si>
    <t>Rémunération des professionnels</t>
  </si>
  <si>
    <t>Indemnisation gouvernance</t>
  </si>
  <si>
    <t>Étiquettes de colonnes</t>
  </si>
  <si>
    <t>Total Décaissement</t>
  </si>
  <si>
    <t>Total Encaissement</t>
  </si>
  <si>
    <t>Ressource / charge</t>
  </si>
  <si>
    <t>Frais bancaires</t>
  </si>
  <si>
    <t>Abonnements</t>
  </si>
  <si>
    <t>Petites fournitures</t>
  </si>
  <si>
    <t>Matériel | Mobilier</t>
  </si>
  <si>
    <t>Aides publiques</t>
  </si>
  <si>
    <t>Dons et legs</t>
  </si>
  <si>
    <t>Eau et électricité</t>
  </si>
  <si>
    <t>Prestataires externes</t>
  </si>
  <si>
    <t>Ressource / dépense</t>
  </si>
  <si>
    <t>Mise en situation plan de crise</t>
  </si>
  <si>
    <t>RCP</t>
  </si>
  <si>
    <t>Total Ressources</t>
  </si>
  <si>
    <t>Total Charges fixes</t>
  </si>
  <si>
    <t>Total Charges variables</t>
  </si>
  <si>
    <t>Dons</t>
  </si>
  <si>
    <t>Aides OPCO</t>
  </si>
  <si>
    <t>Financement appel à projet santé mentale</t>
  </si>
  <si>
    <t>Consommation électricité et eau</t>
  </si>
  <si>
    <t>mars</t>
  </si>
  <si>
    <t>mai</t>
  </si>
  <si>
    <t>Achat bureaux et ordinateurs</t>
  </si>
  <si>
    <t>Avocat</t>
  </si>
  <si>
    <t>Achat classeurs, badges, stylos</t>
  </si>
  <si>
    <t>Forfait carte bleue</t>
  </si>
  <si>
    <t>Abonnement logiciel</t>
  </si>
  <si>
    <t>Affiches médecin traitant</t>
  </si>
  <si>
    <t>TOTAL CHARGES</t>
  </si>
  <si>
    <t>TOTAL RESTANT</t>
  </si>
  <si>
    <t>Année de référence</t>
  </si>
  <si>
    <t>Total par enveloppe</t>
  </si>
  <si>
    <t>avr</t>
  </si>
  <si>
    <t>Catégorie ressource / dépense</t>
  </si>
  <si>
    <t>Amendes et charges exceptionnelles</t>
  </si>
  <si>
    <t>Enveloppe</t>
  </si>
  <si>
    <t>Rémunération PS</t>
  </si>
  <si>
    <t>Remboursement frais déplacement</t>
  </si>
  <si>
    <t>Lien PJ</t>
  </si>
  <si>
    <t>(Tous)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</si>
</sst>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9"/>
      <color indexed="81"/>
      <name val="Tahoma"/>
      <charset val="1"/>
    </font>
    <font>
      <b/>
      <sz val="9"/>
      <color indexed="81"/>
      <name val="Tahoma"/>
      <charset val="1"/>
    </font>
  </fonts>
  <fills count="3">
    <fill>
      <patternFill patternType="none"/>
    </fill>
    <fill>
      <patternFill patternType="gray125"/>
    </fill>
    <fill>
      <patternFill patternType="solid">
        <fgColor theme="4"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44" fontId="1" fillId="0" borderId="0" applyFont="0" applyFill="0" applyBorder="0" applyAlignment="0" applyProtection="0"/>
  </cellStyleXfs>
  <cellXfs count="35">
    <xf numFmtId="0" fontId="0" fillId="0" borderId="0" xfId="0"/>
    <xf numFmtId="0" fontId="0" fillId="0" borderId="1" xfId="0" applyBorder="1"/>
    <xf numFmtId="44" fontId="2" fillId="0" borderId="1" xfId="1" applyFont="1" applyBorder="1"/>
    <xf numFmtId="44" fontId="2" fillId="0" borderId="1" xfId="0" applyNumberFormat="1" applyFont="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44" fontId="0" fillId="0" borderId="1" xfId="1" applyFont="1" applyBorder="1" applyAlignment="1">
      <alignment horizontal="center" vertical="center"/>
    </xf>
    <xf numFmtId="44" fontId="0" fillId="0" borderId="1" xfId="1" applyFont="1" applyFill="1" applyBorder="1" applyAlignment="1">
      <alignment horizontal="center" vertical="center"/>
    </xf>
    <xf numFmtId="44" fontId="0" fillId="0" borderId="0" xfId="1" applyFont="1" applyAlignment="1">
      <alignment horizontal="center" vertical="center"/>
    </xf>
    <xf numFmtId="0" fontId="0" fillId="0" borderId="0" xfId="0" applyAlignment="1">
      <alignment horizontal="center" vertical="center"/>
    </xf>
    <xf numFmtId="14" fontId="0" fillId="0" borderId="3" xfId="0" applyNumberForma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14" fontId="0" fillId="0" borderId="2" xfId="0" applyNumberFormat="1" applyBorder="1" applyAlignment="1">
      <alignment horizontal="center" vertical="center"/>
    </xf>
    <xf numFmtId="0" fontId="0" fillId="0" borderId="2" xfId="0" applyBorder="1" applyAlignment="1">
      <alignment horizontal="center" vertical="center"/>
    </xf>
    <xf numFmtId="44" fontId="0" fillId="0" borderId="2" xfId="1" applyFont="1" applyBorder="1" applyAlignment="1">
      <alignment horizontal="center" vertical="center"/>
    </xf>
    <xf numFmtId="0" fontId="0" fillId="0" borderId="9" xfId="0" applyBorder="1" applyAlignment="1">
      <alignment horizontal="center" vertical="center"/>
    </xf>
    <xf numFmtId="14" fontId="0" fillId="0" borderId="8" xfId="0" applyNumberFormat="1" applyBorder="1" applyAlignment="1">
      <alignment horizontal="center" vertical="center"/>
    </xf>
    <xf numFmtId="44" fontId="0" fillId="0" borderId="1" xfId="0" applyNumberFormat="1" applyBorder="1"/>
    <xf numFmtId="0" fontId="0" fillId="0" borderId="1" xfId="0" pivotButton="1" applyBorder="1"/>
    <xf numFmtId="0" fontId="0" fillId="0" borderId="1" xfId="0" applyBorder="1" applyAlignment="1">
      <alignment horizontal="left"/>
    </xf>
    <xf numFmtId="0" fontId="0" fillId="0" borderId="1" xfId="0" applyBorder="1" applyAlignment="1">
      <alignment horizontal="left" indent="1"/>
    </xf>
    <xf numFmtId="44" fontId="0" fillId="0" borderId="2" xfId="1" applyFont="1" applyFill="1" applyBorder="1" applyAlignment="1">
      <alignment horizontal="center" vertical="center"/>
    </xf>
    <xf numFmtId="0" fontId="2" fillId="0" borderId="1" xfId="0" applyFont="1" applyBorder="1" applyAlignment="1">
      <alignment horizontal="center"/>
    </xf>
    <xf numFmtId="44" fontId="2" fillId="0" borderId="1" xfId="0" applyNumberFormat="1" applyFont="1" applyBorder="1" applyAlignment="1">
      <alignment horizontal="center"/>
    </xf>
    <xf numFmtId="0" fontId="2" fillId="0" borderId="1" xfId="0" applyFont="1" applyBorder="1" applyAlignment="1">
      <alignment horizontal="left" indent="1"/>
    </xf>
    <xf numFmtId="0" fontId="2" fillId="0" borderId="1" xfId="1" applyNumberFormat="1" applyFont="1" applyFill="1" applyBorder="1" applyAlignment="1">
      <alignment horizontal="left" indent="1"/>
    </xf>
    <xf numFmtId="44" fontId="0" fillId="0" borderId="0" xfId="0" applyNumberFormat="1"/>
    <xf numFmtId="44" fontId="2" fillId="0" borderId="0" xfId="0" applyNumberFormat="1" applyFont="1" applyAlignment="1">
      <alignment horizontal="center"/>
    </xf>
    <xf numFmtId="0" fontId="2" fillId="0" borderId="1" xfId="0" applyFont="1" applyBorder="1" applyAlignment="1">
      <alignment horizontal="left"/>
    </xf>
    <xf numFmtId="0" fontId="0" fillId="2" borderId="1" xfId="0"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textRotation="90"/>
    </xf>
  </cellXfs>
  <cellStyles count="2">
    <cellStyle name="Monétaire" xfId="1" builtinId="4"/>
    <cellStyle name="Normal" xfId="0" builtinId="0"/>
  </cellStyles>
  <dxfs count="38">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alignment horizontal="center" vertical="center" textRotation="0" wrapText="0" indent="0" justifyLastLine="0" shrinkToFit="0" readingOrder="0"/>
      <border diagonalUp="0" diagonalDown="0" outline="0">
        <left/>
        <right style="thin">
          <color indexed="64"/>
        </right>
        <top style="thin">
          <color indexed="64"/>
        </top>
        <bottom/>
      </border>
    </dxf>
    <dxf>
      <numFmt numFmtId="19" formatCode="dd/mm/yyyy"/>
      <alignment horizontal="center" vertical="center" textRotation="0" wrapText="0"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border outline="0">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Evolution</a:t>
            </a:r>
            <a:r>
              <a:rPr lang="fr-FR" baseline="0"/>
              <a:t> des ressources de la CPTS durant l'année</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spPr>
            <a:ln w="28575" cap="rnd">
              <a:solidFill>
                <a:schemeClr val="accent1"/>
              </a:solidFill>
              <a:round/>
            </a:ln>
            <a:effectLst/>
          </c:spPr>
          <c:marker>
            <c:symbol val="none"/>
          </c:marker>
          <c:cat>
            <c:numRef>
              <c:f>'Plan de trésorerie'!$B$2:$L$2</c:f>
              <c:numCache>
                <c:formatCode>General</c:formatCode>
                <c:ptCount val="11"/>
              </c:numCache>
            </c:numRef>
          </c:cat>
          <c:val>
            <c:numRef>
              <c:f>'Plan de trésorerie'!$B$24:$L$24</c:f>
              <c:numCache>
                <c:formatCode>_("€"* #,##0.00_);_("€"* \(#,##0.00\);_("€"* "-"??_);_(@_)</c:formatCode>
                <c:ptCount val="11"/>
                <c:pt idx="0">
                  <c:v>191800</c:v>
                </c:pt>
                <c:pt idx="1">
                  <c:v>189600</c:v>
                </c:pt>
                <c:pt idx="2">
                  <c:v>191600</c:v>
                </c:pt>
                <c:pt idx="3">
                  <c:v>191100</c:v>
                </c:pt>
                <c:pt idx="4">
                  <c:v>191750</c:v>
                </c:pt>
                <c:pt idx="5">
                  <c:v>201150</c:v>
                </c:pt>
                <c:pt idx="6">
                  <c:v>200950</c:v>
                </c:pt>
                <c:pt idx="7">
                  <c:v>195600</c:v>
                </c:pt>
                <c:pt idx="8">
                  <c:v>194750</c:v>
                </c:pt>
                <c:pt idx="9">
                  <c:v>194150</c:v>
                </c:pt>
                <c:pt idx="10">
                  <c:v>193350</c:v>
                </c:pt>
              </c:numCache>
            </c:numRef>
          </c:val>
          <c:smooth val="0"/>
          <c:extLst>
            <c:ext xmlns:c16="http://schemas.microsoft.com/office/drawing/2014/chart" uri="{C3380CC4-5D6E-409C-BE32-E72D297353CC}">
              <c16:uniqueId val="{00000000-EDDB-453A-AAD9-A47B2317CEC1}"/>
            </c:ext>
          </c:extLst>
        </c:ser>
        <c:dLbls>
          <c:showLegendKey val="0"/>
          <c:showVal val="0"/>
          <c:showCatName val="0"/>
          <c:showSerName val="0"/>
          <c:showPercent val="0"/>
          <c:showBubbleSize val="0"/>
        </c:dLbls>
        <c:smooth val="0"/>
        <c:axId val="1275912896"/>
        <c:axId val="1275913856"/>
      </c:lineChart>
      <c:catAx>
        <c:axId val="1275912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75913856"/>
        <c:crosses val="autoZero"/>
        <c:auto val="1"/>
        <c:lblAlgn val="ctr"/>
        <c:lblOffset val="100"/>
        <c:noMultiLvlLbl val="0"/>
      </c:catAx>
      <c:valAx>
        <c:axId val="127591385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759128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Ressources</a:t>
            </a:r>
            <a:r>
              <a:rPr lang="fr-FR" baseline="0"/>
              <a:t> restantes par enveloppe</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percentStacked"/>
        <c:varyColors val="0"/>
        <c:ser>
          <c:idx val="0"/>
          <c:order val="0"/>
          <c:tx>
            <c:v>Ressources par enveloppe</c:v>
          </c:tx>
          <c:spPr>
            <a:solidFill>
              <a:schemeClr val="accent1"/>
            </a:solidFill>
            <a:ln>
              <a:noFill/>
            </a:ln>
            <a:effectLst/>
          </c:spPr>
          <c:invertIfNegative val="0"/>
          <c:cat>
            <c:strRef>
              <c:f>'Plan de trésorerie'!$A$4:$A$10</c:f>
              <c:strCache>
                <c:ptCount val="7"/>
                <c:pt idx="0">
                  <c:v>Étiquettes de lignes</c:v>
                </c:pt>
                <c:pt idx="1">
                  <c:v>Encaissement</c:v>
                </c:pt>
                <c:pt idx="2">
                  <c:v>Fonctionnement</c:v>
                </c:pt>
                <c:pt idx="3">
                  <c:v>Mission 1</c:v>
                </c:pt>
                <c:pt idx="4">
                  <c:v>Mission 2</c:v>
                </c:pt>
                <c:pt idx="5">
                  <c:v>Mission 3</c:v>
                </c:pt>
                <c:pt idx="6">
                  <c:v>Mission 4</c:v>
                </c:pt>
              </c:strCache>
            </c:strRef>
          </c:cat>
          <c:val>
            <c:numRef>
              <c:f>'Plan de trésorerie'!$N$4:$N$10</c:f>
              <c:numCache>
                <c:formatCode>_("€"* #,##0.00_);_("€"* \(#,##0.00\);_("€"* "-"??_);_(@_)</c:formatCode>
                <c:ptCount val="7"/>
                <c:pt idx="0" formatCode="General">
                  <c:v>0</c:v>
                </c:pt>
                <c:pt idx="2">
                  <c:v>54800</c:v>
                </c:pt>
                <c:pt idx="3">
                  <c:v>59000</c:v>
                </c:pt>
                <c:pt idx="4">
                  <c:v>40000</c:v>
                </c:pt>
                <c:pt idx="5">
                  <c:v>20000</c:v>
                </c:pt>
                <c:pt idx="6">
                  <c:v>25000</c:v>
                </c:pt>
              </c:numCache>
            </c:numRef>
          </c:val>
          <c:extLst>
            <c:ext xmlns:c16="http://schemas.microsoft.com/office/drawing/2014/chart" uri="{C3380CC4-5D6E-409C-BE32-E72D297353CC}">
              <c16:uniqueId val="{00000000-6639-404A-85D3-0A4D7FCCFAE7}"/>
            </c:ext>
          </c:extLst>
        </c:ser>
        <c:ser>
          <c:idx val="1"/>
          <c:order val="1"/>
          <c:tx>
            <c:v>Dépenses par enveloppes</c:v>
          </c:tx>
          <c:spPr>
            <a:solidFill>
              <a:schemeClr val="accent2"/>
            </a:solidFill>
            <a:ln>
              <a:noFill/>
            </a:ln>
            <a:effectLst/>
          </c:spPr>
          <c:invertIfNegative val="0"/>
          <c:cat>
            <c:strRef>
              <c:f>'Plan de trésorerie'!$A$4:$A$10</c:f>
              <c:strCache>
                <c:ptCount val="7"/>
                <c:pt idx="0">
                  <c:v>Étiquettes de lignes</c:v>
                </c:pt>
                <c:pt idx="1">
                  <c:v>Encaissement</c:v>
                </c:pt>
                <c:pt idx="2">
                  <c:v>Fonctionnement</c:v>
                </c:pt>
                <c:pt idx="3">
                  <c:v>Mission 1</c:v>
                </c:pt>
                <c:pt idx="4">
                  <c:v>Mission 2</c:v>
                </c:pt>
                <c:pt idx="5">
                  <c:v>Mission 3</c:v>
                </c:pt>
                <c:pt idx="6">
                  <c:v>Mission 4</c:v>
                </c:pt>
              </c:strCache>
            </c:strRef>
          </c:cat>
          <c:val>
            <c:numRef>
              <c:f>'Plan de trésorerie'!$N$13:$N$19</c:f>
              <c:numCache>
                <c:formatCode>_("€"* #,##0.00_);_("€"* \(#,##0.00\);_("€"* "-"??_);_(@_)</c:formatCode>
                <c:ptCount val="7"/>
                <c:pt idx="0">
                  <c:v>211300</c:v>
                </c:pt>
                <c:pt idx="2">
                  <c:v>15100</c:v>
                </c:pt>
                <c:pt idx="3">
                  <c:v>6300</c:v>
                </c:pt>
                <c:pt idx="4">
                  <c:v>1550</c:v>
                </c:pt>
                <c:pt idx="5">
                  <c:v>3000</c:v>
                </c:pt>
                <c:pt idx="6">
                  <c:v>3000</c:v>
                </c:pt>
              </c:numCache>
            </c:numRef>
          </c:val>
          <c:extLst>
            <c:ext xmlns:c16="http://schemas.microsoft.com/office/drawing/2014/chart" uri="{C3380CC4-5D6E-409C-BE32-E72D297353CC}">
              <c16:uniqueId val="{00000002-6639-404A-85D3-0A4D7FCCFAE7}"/>
            </c:ext>
          </c:extLst>
        </c:ser>
        <c:dLbls>
          <c:showLegendKey val="0"/>
          <c:showVal val="0"/>
          <c:showCatName val="0"/>
          <c:showSerName val="0"/>
          <c:showPercent val="0"/>
          <c:showBubbleSize val="0"/>
        </c:dLbls>
        <c:gapWidth val="150"/>
        <c:overlap val="100"/>
        <c:axId val="2028538847"/>
        <c:axId val="2028539327"/>
      </c:barChart>
      <c:catAx>
        <c:axId val="20285388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28539327"/>
        <c:crosses val="autoZero"/>
        <c:auto val="1"/>
        <c:lblAlgn val="ctr"/>
        <c:lblOffset val="100"/>
        <c:noMultiLvlLbl val="0"/>
      </c:catAx>
      <c:valAx>
        <c:axId val="20285393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2853884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62273060646588418"/>
          <c:y val="2.4061871217833826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plotArea>
      <c:layout>
        <c:manualLayout>
          <c:layoutTarget val="inner"/>
          <c:xMode val="edge"/>
          <c:yMode val="edge"/>
          <c:x val="0.10142104111986001"/>
          <c:y val="0.13877333041703122"/>
          <c:w val="0.48618044619422573"/>
          <c:h val="0.81030074365704285"/>
        </c:manualLayout>
      </c:layout>
      <c:pieChart>
        <c:varyColors val="1"/>
        <c:ser>
          <c:idx val="0"/>
          <c:order val="0"/>
          <c:tx>
            <c:v>Postes de dépenses</c:v>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1ED-403F-AC8D-6FAEC5707B79}"/>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1ED-403F-AC8D-6FAEC5707B79}"/>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1ED-403F-AC8D-6FAEC5707B79}"/>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A1ED-403F-AC8D-6FAEC5707B79}"/>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1ED-403F-AC8D-6FAEC5707B79}"/>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A1ED-403F-AC8D-6FAEC5707B79}"/>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A1ED-403F-AC8D-6FAEC5707B79}"/>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A1ED-403F-AC8D-6FAEC5707B79}"/>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A1ED-403F-AC8D-6FAEC5707B79}"/>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3-A1ED-403F-AC8D-6FAEC5707B79}"/>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5-A1ED-403F-AC8D-6FAEC5707B79}"/>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7-A1ED-403F-AC8D-6FAEC5707B79}"/>
              </c:ext>
            </c:extLst>
          </c:dPt>
          <c:dPt>
            <c:idx val="12"/>
            <c:bubble3D val="0"/>
            <c:spPr>
              <a:solidFill>
                <a:schemeClr val="accent1">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9-A1ED-403F-AC8D-6FAEC5707B79}"/>
              </c:ext>
            </c:extLst>
          </c:dPt>
          <c:dPt>
            <c:idx val="13"/>
            <c:bubble3D val="0"/>
            <c:spPr>
              <a:solidFill>
                <a:schemeClr val="accent2">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D693-4C87-8286-047A1C3D0012}"/>
              </c:ext>
            </c:extLst>
          </c:dPt>
          <c:dPt>
            <c:idx val="14"/>
            <c:bubble3D val="0"/>
            <c:spPr>
              <a:solidFill>
                <a:schemeClr val="accent3">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D-A1ED-403F-AC8D-6FAEC5707B79}"/>
              </c:ext>
            </c:extLst>
          </c:dPt>
          <c:dPt>
            <c:idx val="15"/>
            <c:bubble3D val="0"/>
            <c:spPr>
              <a:solidFill>
                <a:schemeClr val="accent4">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D693-4C87-8286-047A1C3D0012}"/>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ln>
                      <a:noFill/>
                    </a:ln>
                    <a:solidFill>
                      <a:schemeClr val="lt1"/>
                    </a:solidFill>
                    <a:latin typeface="+mn-lt"/>
                    <a:ea typeface="+mn-ea"/>
                    <a:cs typeface="+mn-cs"/>
                  </a:defRPr>
                </a:pPr>
                <a:endParaRPr lang="fr-FR"/>
              </a:p>
            </c:txPr>
            <c:dLblPos val="bestFit"/>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('Budget réel'!$A$15:$A$19,'Budget réel'!$A$22:$A$32)</c:f>
              <c:strCache>
                <c:ptCount val="16"/>
                <c:pt idx="0">
                  <c:v>Salaires</c:v>
                </c:pt>
                <c:pt idx="1">
                  <c:v>Assurances</c:v>
                </c:pt>
                <c:pt idx="2">
                  <c:v>Loyer</c:v>
                </c:pt>
                <c:pt idx="3">
                  <c:v>Abonnements</c:v>
                </c:pt>
                <c:pt idx="4">
                  <c:v>Frais bancaires</c:v>
                </c:pt>
                <c:pt idx="5">
                  <c:v>Matériel | Mobilier</c:v>
                </c:pt>
                <c:pt idx="6">
                  <c:v>Prestataires externes</c:v>
                </c:pt>
                <c:pt idx="7">
                  <c:v>Rémunération des professionnels</c:v>
                </c:pt>
                <c:pt idx="8">
                  <c:v>Location</c:v>
                </c:pt>
                <c:pt idx="9">
                  <c:v>Formation</c:v>
                </c:pt>
                <c:pt idx="10">
                  <c:v>Frais de déplacement</c:v>
                </c:pt>
                <c:pt idx="11">
                  <c:v>Indemnisation gouvernance</c:v>
                </c:pt>
                <c:pt idx="12">
                  <c:v>Frais de bouche</c:v>
                </c:pt>
                <c:pt idx="13">
                  <c:v>Communication</c:v>
                </c:pt>
                <c:pt idx="14">
                  <c:v>Eau et électricité</c:v>
                </c:pt>
                <c:pt idx="15">
                  <c:v>Petites fournitures</c:v>
                </c:pt>
              </c:strCache>
            </c:strRef>
          </c:cat>
          <c:val>
            <c:numRef>
              <c:f>('Budget réel'!$I$15:$I$19,'Budget réel'!$I$22:$I$32)</c:f>
              <c:numCache>
                <c:formatCode>_("€"* #,##0.00_);_("€"* \(#,##0.00\);_("€"* "-"??_);_(@_)</c:formatCode>
                <c:ptCount val="16"/>
                <c:pt idx="0">
                  <c:v>11000</c:v>
                </c:pt>
                <c:pt idx="1">
                  <c:v>1500</c:v>
                </c:pt>
                <c:pt idx="2">
                  <c:v>1400</c:v>
                </c:pt>
                <c:pt idx="3">
                  <c:v>200</c:v>
                </c:pt>
                <c:pt idx="4">
                  <c:v>50</c:v>
                </c:pt>
                <c:pt idx="5">
                  <c:v>5000</c:v>
                </c:pt>
                <c:pt idx="6">
                  <c:v>3500</c:v>
                </c:pt>
                <c:pt idx="7">
                  <c:v>3500</c:v>
                </c:pt>
                <c:pt idx="8">
                  <c:v>1250</c:v>
                </c:pt>
                <c:pt idx="9">
                  <c:v>1200</c:v>
                </c:pt>
                <c:pt idx="10">
                  <c:v>550</c:v>
                </c:pt>
                <c:pt idx="11">
                  <c:v>400</c:v>
                </c:pt>
                <c:pt idx="12">
                  <c:v>350</c:v>
                </c:pt>
                <c:pt idx="13">
                  <c:v>300</c:v>
                </c:pt>
                <c:pt idx="14">
                  <c:v>150</c:v>
                </c:pt>
                <c:pt idx="15">
                  <c:v>100</c:v>
                </c:pt>
              </c:numCache>
            </c:numRef>
          </c:val>
          <c:extLst>
            <c:ext xmlns:c16="http://schemas.microsoft.com/office/drawing/2014/chart" uri="{C3380CC4-5D6E-409C-BE32-E72D297353CC}">
              <c16:uniqueId val="{00000000-D693-4C87-8286-047A1C3D0012}"/>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120650</xdr:colOff>
      <xdr:row>1</xdr:row>
      <xdr:rowOff>57150</xdr:rowOff>
    </xdr:from>
    <xdr:to>
      <xdr:col>15</xdr:col>
      <xdr:colOff>107950</xdr:colOff>
      <xdr:row>115</xdr:row>
      <xdr:rowOff>158750</xdr:rowOff>
    </xdr:to>
    <xdr:sp macro="" textlink="">
      <xdr:nvSpPr>
        <xdr:cNvPr id="2" name="ZoneTexte 1">
          <a:extLst>
            <a:ext uri="{FF2B5EF4-FFF2-40B4-BE49-F238E27FC236}">
              <a16:creationId xmlns:a16="http://schemas.microsoft.com/office/drawing/2014/main" id="{57FD4CE7-F492-94E0-D847-7D21C37D8A22}"/>
            </a:ext>
          </a:extLst>
        </xdr:cNvPr>
        <xdr:cNvSpPr txBox="1"/>
      </xdr:nvSpPr>
      <xdr:spPr>
        <a:xfrm>
          <a:off x="120650" y="241300"/>
          <a:ext cx="11417300" cy="21094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2400" b="1">
              <a:solidFill>
                <a:schemeClr val="accent2"/>
              </a:solidFill>
            </a:rPr>
            <a:t>NOTICE D'UTILISATION</a:t>
          </a:r>
        </a:p>
        <a:p>
          <a:pPr algn="ctr"/>
          <a:endParaRPr lang="fr-FR" sz="2400">
            <a:solidFill>
              <a:schemeClr val="accent2"/>
            </a:solidFill>
          </a:endParaRPr>
        </a:p>
        <a:p>
          <a:pPr algn="l"/>
          <a:r>
            <a:rPr lang="fr-FR" sz="1400">
              <a:solidFill>
                <a:sysClr val="windowText" lastClr="000000"/>
              </a:solidFill>
            </a:rPr>
            <a:t>Cet</a:t>
          </a:r>
          <a:r>
            <a:rPr lang="fr-FR" sz="1400" baseline="0">
              <a:solidFill>
                <a:sysClr val="windowText" lastClr="000000"/>
              </a:solidFill>
            </a:rPr>
            <a:t> outil clé en main est un complément au guide de la gestion financière en CPTS et vise à vous aider à mieux gérer les ressources de votre CPTS.</a:t>
          </a:r>
        </a:p>
        <a:p>
          <a:pPr algn="l"/>
          <a:endParaRPr lang="fr-FR" sz="1400" baseline="0">
            <a:solidFill>
              <a:sysClr val="windowText" lastClr="000000"/>
            </a:solidFill>
          </a:endParaRPr>
        </a:p>
        <a:p>
          <a:pPr algn="l"/>
          <a:r>
            <a:rPr lang="fr-FR" sz="1400" baseline="0">
              <a:solidFill>
                <a:sysClr val="windowText" lastClr="000000"/>
              </a:solidFill>
            </a:rPr>
            <a:t>Le document est divisé en plusieurs outils :</a:t>
          </a:r>
        </a:p>
        <a:p>
          <a:pPr algn="l"/>
          <a:endParaRPr lang="fr-FR" sz="1400" baseline="0">
            <a:solidFill>
              <a:sysClr val="windowText" lastClr="000000"/>
            </a:solidFill>
          </a:endParaRPr>
        </a:p>
        <a:p>
          <a:pPr algn="l"/>
          <a:r>
            <a:rPr lang="fr-FR" sz="1400" b="1" baseline="0">
              <a:solidFill>
                <a:sysClr val="windowText" lastClr="000000"/>
              </a:solidFill>
            </a:rPr>
            <a:t>	- Le registre des transactions</a:t>
          </a:r>
        </a:p>
        <a:p>
          <a:pPr algn="l"/>
          <a:r>
            <a:rPr lang="fr-FR" sz="1400" b="1" baseline="0">
              <a:solidFill>
                <a:sysClr val="windowText" lastClr="000000"/>
              </a:solidFill>
            </a:rPr>
            <a:t>	- Le budget prévisionnel</a:t>
          </a:r>
        </a:p>
        <a:p>
          <a:pPr algn="l"/>
          <a:r>
            <a:rPr lang="fr-FR" sz="1400" b="1" baseline="0">
              <a:solidFill>
                <a:sysClr val="windowText" lastClr="000000"/>
              </a:solidFill>
            </a:rPr>
            <a:t>	- Le budget réel</a:t>
          </a:r>
        </a:p>
        <a:p>
          <a:pPr algn="l"/>
          <a:r>
            <a:rPr lang="fr-FR" sz="1400" b="1" baseline="0">
              <a:solidFill>
                <a:sysClr val="windowText" lastClr="000000"/>
              </a:solidFill>
            </a:rPr>
            <a:t>	- Le plan de trésorerie</a:t>
          </a:r>
        </a:p>
        <a:p>
          <a:pPr algn="l"/>
          <a:endParaRPr lang="fr-FR" sz="1400" baseline="0">
            <a:solidFill>
              <a:sysClr val="windowText" lastClr="000000"/>
            </a:solidFill>
          </a:endParaRPr>
        </a:p>
        <a:p>
          <a:pPr algn="l"/>
          <a:r>
            <a:rPr lang="fr-FR" sz="1800" b="1">
              <a:solidFill>
                <a:schemeClr val="accent1"/>
              </a:solidFill>
            </a:rPr>
            <a:t>Le</a:t>
          </a:r>
          <a:r>
            <a:rPr lang="fr-FR" sz="1800" b="1" baseline="0">
              <a:solidFill>
                <a:schemeClr val="accent1"/>
              </a:solidFill>
            </a:rPr>
            <a:t> registre des transactions</a:t>
          </a:r>
        </a:p>
        <a:p>
          <a:pPr algn="l"/>
          <a:endParaRPr lang="fr-FR" sz="1800" b="1" baseline="0">
            <a:solidFill>
              <a:schemeClr val="accent1"/>
            </a:solidFill>
          </a:endParaRPr>
        </a:p>
        <a:p>
          <a:pPr algn="l"/>
          <a:r>
            <a:rPr lang="fr-FR" sz="1400" b="0">
              <a:solidFill>
                <a:sysClr val="windowText" lastClr="000000"/>
              </a:solidFill>
            </a:rPr>
            <a:t>Le</a:t>
          </a:r>
          <a:r>
            <a:rPr lang="fr-FR" sz="1400" b="0" baseline="0">
              <a:solidFill>
                <a:sysClr val="windowText" lastClr="000000"/>
              </a:solidFill>
            </a:rPr>
            <a:t> registre</a:t>
          </a:r>
          <a:r>
            <a:rPr lang="fr-FR" sz="1400" b="0">
              <a:solidFill>
                <a:sysClr val="windowText" lastClr="000000"/>
              </a:solidFill>
            </a:rPr>
            <a:t> des transactions sert à</a:t>
          </a:r>
          <a:r>
            <a:rPr lang="fr-FR" sz="1400" b="0" baseline="0">
              <a:solidFill>
                <a:sysClr val="windowText" lastClr="000000"/>
              </a:solidFill>
            </a:rPr>
            <a:t> enregistrer l'ensemble des transactions de votre CPTS, qu'elles soient des entrées ou sorties d'argent.</a:t>
          </a:r>
        </a:p>
        <a:p>
          <a:pPr algn="l"/>
          <a:endParaRPr lang="fr-FR" sz="1400" b="0" baseline="0">
            <a:solidFill>
              <a:sysClr val="windowText" lastClr="000000"/>
            </a:solidFill>
          </a:endParaRPr>
        </a:p>
        <a:p>
          <a:pPr algn="l"/>
          <a:r>
            <a:rPr lang="fr-FR" sz="1400" b="0" baseline="0">
              <a:solidFill>
                <a:sysClr val="windowText" lastClr="000000"/>
              </a:solidFill>
            </a:rPr>
            <a:t>Le registre vise à associer à chaque transaction :</a:t>
          </a:r>
        </a:p>
        <a:p>
          <a:pPr algn="l"/>
          <a:endParaRPr lang="fr-FR" sz="1400" b="0" baseline="0">
            <a:solidFill>
              <a:sysClr val="windowText" lastClr="000000"/>
            </a:solidFill>
          </a:endParaRPr>
        </a:p>
        <a:p>
          <a:pPr algn="l"/>
          <a:r>
            <a:rPr lang="fr-FR" sz="1400" b="0" baseline="0">
              <a:solidFill>
                <a:sysClr val="windowText" lastClr="000000"/>
              </a:solidFill>
            </a:rPr>
            <a:t>	- Une date (date de la transaction)</a:t>
          </a:r>
        </a:p>
        <a:p>
          <a:pPr algn="l"/>
          <a:endParaRPr lang="fr-FR" sz="1400" b="0" baseline="0">
            <a:solidFill>
              <a:sysClr val="windowText" lastClr="000000"/>
            </a:solidFill>
          </a:endParaRPr>
        </a:p>
        <a:p>
          <a:pPr algn="l"/>
          <a:r>
            <a:rPr lang="fr-FR" sz="1400" b="0" baseline="0">
              <a:solidFill>
                <a:sysClr val="windowText" lastClr="000000"/>
              </a:solidFill>
            </a:rPr>
            <a:t>	- Une année de référence : c'est l'année "comptable" à laquelle la ressource / dépense sera imputée.</a:t>
          </a:r>
        </a:p>
        <a:p>
          <a:pPr algn="l"/>
          <a:endParaRPr lang="fr-FR" sz="1400" b="0" baseline="0">
            <a:solidFill>
              <a:sysClr val="windowText" lastClr="000000"/>
            </a:solidFill>
          </a:endParaRPr>
        </a:p>
        <a:p>
          <a:pPr algn="l"/>
          <a:r>
            <a:rPr lang="fr-FR" sz="1400" b="0" baseline="0">
              <a:solidFill>
                <a:sysClr val="windowText" lastClr="000000"/>
              </a:solidFill>
            </a:rPr>
            <a:t>	- Un libellé (nom / objet de la transaction)</a:t>
          </a:r>
        </a:p>
        <a:p>
          <a:pPr algn="l"/>
          <a:endParaRPr lang="fr-FR" sz="1400" b="0" baseline="0">
            <a:solidFill>
              <a:sysClr val="windowText" lastClr="000000"/>
            </a:solidFill>
          </a:endParaRPr>
        </a:p>
        <a:p>
          <a:pPr algn="l"/>
          <a:r>
            <a:rPr lang="fr-FR" sz="1400" b="0" baseline="0">
              <a:solidFill>
                <a:sysClr val="windowText" lastClr="000000"/>
              </a:solidFill>
            </a:rPr>
            <a:t>	- Un montant</a:t>
          </a:r>
        </a:p>
        <a:p>
          <a:pPr algn="l"/>
          <a:endParaRPr lang="fr-FR" sz="1400" b="0" baseline="0">
            <a:solidFill>
              <a:sysClr val="windowText" lastClr="000000"/>
            </a:solidFill>
          </a:endParaRPr>
        </a:p>
        <a:p>
          <a:pPr algn="l"/>
          <a:r>
            <a:rPr lang="fr-FR" sz="1400" b="0" baseline="0">
              <a:solidFill>
                <a:sysClr val="windowText" lastClr="000000"/>
              </a:solidFill>
            </a:rPr>
            <a:t>	- Une catégorie : la catégorie fait référence au "poste" à laquelle la transaction est associée. Cette catégorisation est importante pour bien 	identifier les principaux postes de dépenses de votre CPTS. Une liste pré-identifiée vous est fournie, vous pouvez 	cependant l'étoffer en 	fonction de vos besoins en complétant la feuille "Liste". </a:t>
          </a:r>
          <a:r>
            <a:rPr lang="fr-FR" sz="1400" b="0" baseline="0">
              <a:solidFill>
                <a:sysClr val="windowText" lastClr="000000"/>
              </a:solidFill>
              <a:latin typeface="+mn-lt"/>
              <a:ea typeface="+mn-ea"/>
              <a:cs typeface="+mn-cs"/>
            </a:rPr>
            <a:t>Des informations complémentaires vous sont fournies sur la feuille "Liste"et dans la 	feuille "FAQ" concernant les catégories de transactions.</a:t>
          </a:r>
        </a:p>
        <a:p>
          <a:pPr algn="l"/>
          <a:endParaRPr lang="fr-FR" sz="1400" b="0" baseline="0">
            <a:solidFill>
              <a:sysClr val="windowText" lastClr="000000"/>
            </a:solidFill>
            <a:latin typeface="+mn-lt"/>
            <a:ea typeface="+mn-ea"/>
            <a:cs typeface="+mn-cs"/>
          </a:endParaRPr>
        </a:p>
        <a:p>
          <a:pPr algn="l"/>
          <a:r>
            <a:rPr lang="fr-FR" sz="1400" b="0" baseline="0">
              <a:solidFill>
                <a:sysClr val="windowText" lastClr="000000"/>
              </a:solidFill>
            </a:rPr>
            <a:t>	- La nature de la transaction (colonne "Ressource / Dépense") : c'est pour permettre de différencier les ressources des dépenses ainsi que les 	dépenses fixes et variables. Si vous rajoutez des catégories (ou postes) de dépenses dans la feuille "Liste" nous vous conseillons de lui associer 	une nature (ressources / charges fixes / charges variables). </a:t>
          </a:r>
        </a:p>
        <a:p>
          <a:pPr algn="l"/>
          <a:endParaRPr lang="fr-FR" sz="1400" b="0" baseline="0">
            <a:solidFill>
              <a:sysClr val="windowText" lastClr="000000"/>
            </a:solidFill>
          </a:endParaRPr>
        </a:p>
        <a:p>
          <a:pPr algn="l"/>
          <a:r>
            <a:rPr lang="fr-FR" sz="1400" b="0" baseline="0">
              <a:solidFill>
                <a:sysClr val="windowText" lastClr="000000"/>
              </a:solidFill>
            </a:rPr>
            <a:t>	- Le type de mouvement de trésorerie : lorsque c'est une ressource, c'est un encaissement. Lorsque c'est une dépense un décaissement. Cette 	information permet la réalisation d'un plan de trésorerie. A nouveau, si vous ajoutez une catégorie de dépense dans la feuille "Liste", pensez à 	y associer le type de mouvement de trésorerie (encaissement / décaissement).</a:t>
          </a:r>
        </a:p>
        <a:p>
          <a:pPr algn="l"/>
          <a:endParaRPr lang="fr-FR" sz="1400" b="0" baseline="0">
            <a:solidFill>
              <a:sysClr val="windowText" lastClr="000000"/>
            </a:solidFill>
          </a:endParaRPr>
        </a:p>
        <a:p>
          <a:pPr algn="l"/>
          <a:r>
            <a:rPr lang="fr-FR" sz="1400" b="0" baseline="0">
              <a:solidFill>
                <a:sysClr val="windowText" lastClr="000000"/>
              </a:solidFill>
            </a:rPr>
            <a:t>	- Une enveloppe : ceci fait référence aux enveloppes de l'ACI (fonctionnement, mission 1...). Cette donnée permet de relier une transaction 	à une enveloppe spécifique et respecter le principe de fongibilité.</a:t>
          </a:r>
        </a:p>
        <a:p>
          <a:pPr algn="l"/>
          <a:endParaRPr lang="fr-FR" sz="1400" b="0" baseline="0">
            <a:solidFill>
              <a:sysClr val="windowText" lastClr="000000"/>
            </a:solidFill>
          </a:endParaRPr>
        </a:p>
        <a:p>
          <a:pPr algn="l"/>
          <a:r>
            <a:rPr lang="fr-FR" sz="1400" b="0" baseline="0">
              <a:solidFill>
                <a:sysClr val="windowText" lastClr="000000"/>
              </a:solidFill>
            </a:rPr>
            <a:t>	- Une action ou projet : (facultatif) cette colonne vous propose d'associer une action ou un projet à la transaction. Si vous avez plusieurs 	projets dans une même mission, il peut être intéressant de renseigner cette information afin d'identifier plus clairement combien vous a coûté 	une action.</a:t>
          </a:r>
        </a:p>
        <a:p>
          <a:pPr algn="l"/>
          <a:endParaRPr lang="fr-FR" sz="1400" b="0" baseline="0">
            <a:solidFill>
              <a:sysClr val="windowText" lastClr="000000"/>
            </a:solidFill>
          </a:endParaRPr>
        </a:p>
        <a:p>
          <a:pPr algn="l"/>
          <a:r>
            <a:rPr lang="fr-FR" sz="1400" b="0" baseline="0">
              <a:solidFill>
                <a:sysClr val="windowText" lastClr="000000"/>
              </a:solidFill>
            </a:rPr>
            <a:t>	- Un événement : (facultatif) même principe dans le cas où vous êtes intéressés de savoir plus précisément combien vous a coûté un 	événement pour une action.</a:t>
          </a:r>
        </a:p>
        <a:p>
          <a:pPr algn="l"/>
          <a:endParaRPr lang="fr-FR" sz="1400" b="0" baseline="0">
            <a:solidFill>
              <a:sysClr val="windowText" lastClr="000000"/>
            </a:solidFill>
          </a:endParaRPr>
        </a:p>
        <a:p>
          <a:pPr algn="l"/>
          <a:r>
            <a:rPr lang="fr-FR" sz="1400" b="1" u="sng" baseline="0">
              <a:solidFill>
                <a:sysClr val="windowText" lastClr="000000"/>
              </a:solidFill>
            </a:rPr>
            <a:t>IMPORTANT :</a:t>
          </a:r>
          <a:r>
            <a:rPr lang="fr-FR" sz="1400" b="1" baseline="0">
              <a:solidFill>
                <a:sysClr val="windowText" lastClr="000000"/>
              </a:solidFill>
            </a:rPr>
            <a:t> LE REGISTRE EST LA BASE DE CET OUTIL. POUR QUE LE PLAN DE TRESORERIE ET LE BUDGET FONCTIONNENT IL EST NECESSAIRE DE COMPLETER LE REGISTRE RESSOURCES / DEPENSES. LE RESTE SERA AUTOMATISE.</a:t>
          </a:r>
        </a:p>
        <a:p>
          <a:pPr algn="l"/>
          <a:endParaRPr lang="fr-FR" sz="1400" b="0" baseline="0">
            <a:solidFill>
              <a:sysClr val="windowText" lastClr="000000"/>
            </a:solidFill>
          </a:endParaRPr>
        </a:p>
        <a:p>
          <a:pPr algn="l"/>
          <a:r>
            <a:rPr lang="fr-FR" sz="1800" b="1">
              <a:solidFill>
                <a:schemeClr val="accent1"/>
              </a:solidFill>
            </a:rPr>
            <a:t>Le plan de trésorerie</a:t>
          </a:r>
        </a:p>
        <a:p>
          <a:pPr algn="l"/>
          <a:endParaRPr lang="fr-FR" sz="1800" b="1">
            <a:solidFill>
              <a:schemeClr val="accent1"/>
            </a:solidFill>
          </a:endParaRPr>
        </a:p>
        <a:p>
          <a:pPr algn="l"/>
          <a:r>
            <a:rPr lang="fr-FR" sz="1400" b="0">
              <a:solidFill>
                <a:sysClr val="windowText" lastClr="000000"/>
              </a:solidFill>
            </a:rPr>
            <a:t>Le</a:t>
          </a:r>
          <a:r>
            <a:rPr lang="fr-FR" sz="1400" b="0" baseline="0">
              <a:solidFill>
                <a:sysClr val="windowText" lastClr="000000"/>
              </a:solidFill>
            </a:rPr>
            <a:t> plan de trésorerie vise à identifier les différents flux de trésorerie (encaissements / décaissements) de vos différentes enveloppes sur tous les mois de l'année. Cela permet d'identifier facilement les mois où les dépenses sont les plus importantes et d'observer le solde restant par enveloppe.</a:t>
          </a:r>
        </a:p>
        <a:p>
          <a:pPr algn="l"/>
          <a:endParaRPr lang="fr-FR" sz="1400" b="0" baseline="0">
            <a:solidFill>
              <a:sysClr val="windowText" lastClr="000000"/>
            </a:solidFill>
          </a:endParaRPr>
        </a:p>
        <a:p>
          <a:pPr algn="l"/>
          <a:r>
            <a:rPr lang="fr-FR" sz="1400" b="0" baseline="0">
              <a:solidFill>
                <a:sysClr val="windowText" lastClr="000000"/>
              </a:solidFill>
            </a:rPr>
            <a:t>Le plan de trésorerie est automatique, dès lors que vous ajouterez des transactions dans le registre des transactions elles seront intégrées au plan de trésorerie. </a:t>
          </a:r>
          <a:r>
            <a:rPr lang="fr-FR" sz="1400" b="1" baseline="0">
              <a:solidFill>
                <a:sysClr val="windowText" lastClr="000000"/>
              </a:solidFill>
            </a:rPr>
            <a:t>Pensez toutefois à actualiser le tableau (clic droit sur une cellule du plan de trésorerie =&gt; actualiser).</a:t>
          </a:r>
        </a:p>
        <a:p>
          <a:pPr algn="l"/>
          <a:endParaRPr lang="fr-FR" sz="1400" b="1" baseline="0">
            <a:solidFill>
              <a:sysClr val="windowText" lastClr="000000"/>
            </a:solidFill>
          </a:endParaRPr>
        </a:p>
        <a:p>
          <a:pPr algn="l"/>
          <a:r>
            <a:rPr lang="fr-FR" sz="1800" b="1">
              <a:solidFill>
                <a:schemeClr val="accent1"/>
              </a:solidFill>
              <a:latin typeface="+mn-lt"/>
              <a:ea typeface="+mn-ea"/>
              <a:cs typeface="+mn-cs"/>
            </a:rPr>
            <a:t>Le budget réel</a:t>
          </a:r>
        </a:p>
        <a:p>
          <a:pPr algn="l"/>
          <a:endParaRPr lang="fr-FR" sz="1800" b="1">
            <a:solidFill>
              <a:schemeClr val="accent1"/>
            </a:solidFill>
            <a:latin typeface="+mn-lt"/>
            <a:ea typeface="+mn-ea"/>
            <a:cs typeface="+mn-cs"/>
          </a:endParaRPr>
        </a:p>
        <a:p>
          <a:pPr algn="l"/>
          <a:r>
            <a:rPr lang="fr-FR" sz="1400" b="0">
              <a:solidFill>
                <a:sysClr val="windowText" lastClr="000000"/>
              </a:solidFill>
              <a:latin typeface="+mn-lt"/>
              <a:ea typeface="+mn-ea"/>
              <a:cs typeface="+mn-cs"/>
            </a:rPr>
            <a:t>Le budget réel propose</a:t>
          </a:r>
          <a:r>
            <a:rPr lang="fr-FR" sz="1400" b="0" baseline="0">
              <a:solidFill>
                <a:sysClr val="windowText" lastClr="000000"/>
              </a:solidFill>
              <a:latin typeface="+mn-lt"/>
              <a:ea typeface="+mn-ea"/>
              <a:cs typeface="+mn-cs"/>
            </a:rPr>
            <a:t> une vision complémentaire à celui du plan de trésorerie de l'état de vos finances à un instant T. Le budget mets en avant les principaux postes de ressources / dépenses de votre CPTS par enveloppe de manière agrégée sur l'année.</a:t>
          </a:r>
        </a:p>
        <a:p>
          <a:pPr algn="l"/>
          <a:endParaRPr lang="fr-FR" sz="1400" b="0" baseline="0">
            <a:solidFill>
              <a:sysClr val="windowText" lastClr="000000"/>
            </a:solidFill>
            <a:latin typeface="+mn-lt"/>
            <a:ea typeface="+mn-ea"/>
            <a:cs typeface="+mn-cs"/>
          </a:endParaRPr>
        </a:p>
        <a:p>
          <a:pPr algn="l"/>
          <a:r>
            <a:rPr lang="fr-FR" sz="1400" b="0" baseline="0">
              <a:solidFill>
                <a:sysClr val="windowText" lastClr="000000"/>
              </a:solidFill>
              <a:latin typeface="+mn-lt"/>
              <a:ea typeface="+mn-ea"/>
              <a:cs typeface="+mn-cs"/>
            </a:rPr>
            <a:t>Il est utile pour identifier les plus grandes catégories de dépenses de votre CPTS. Tout comme le plan de trésorerie, le budget réel est automatique, dès lors que vous ajouterez des transactions dans le registre des transactions elles seront intégrées au budget réel. </a:t>
          </a:r>
          <a:r>
            <a:rPr lang="fr-FR" sz="1400" b="1" baseline="0">
              <a:solidFill>
                <a:sysClr val="windowText" lastClr="000000"/>
              </a:solidFill>
              <a:latin typeface="+mn-lt"/>
              <a:ea typeface="+mn-ea"/>
              <a:cs typeface="+mn-cs"/>
            </a:rPr>
            <a:t>Pensez toutefois à actualiser le tableau (clic droit sur une cellule du budget réel =&gt; actualiser).</a:t>
          </a:r>
        </a:p>
        <a:p>
          <a:pPr algn="l"/>
          <a:endParaRPr lang="fr-FR" sz="1400" b="1" baseline="0">
            <a:solidFill>
              <a:sysClr val="windowText" lastClr="000000"/>
            </a:solidFill>
            <a:latin typeface="+mn-lt"/>
            <a:ea typeface="+mn-ea"/>
            <a:cs typeface="+mn-cs"/>
          </a:endParaRPr>
        </a:p>
        <a:p>
          <a:pPr algn="l"/>
          <a:r>
            <a:rPr lang="fr-FR" sz="1800" b="1">
              <a:solidFill>
                <a:schemeClr val="accent1"/>
              </a:solidFill>
              <a:latin typeface="+mn-lt"/>
              <a:ea typeface="+mn-ea"/>
              <a:cs typeface="+mn-cs"/>
            </a:rPr>
            <a:t>Le budget prévisionnel</a:t>
          </a:r>
        </a:p>
        <a:p>
          <a:pPr algn="l"/>
          <a:endParaRPr lang="fr-FR" sz="1800" b="1">
            <a:solidFill>
              <a:schemeClr val="accent1"/>
            </a:solidFill>
            <a:latin typeface="+mn-lt"/>
            <a:ea typeface="+mn-ea"/>
            <a:cs typeface="+mn-cs"/>
          </a:endParaRPr>
        </a:p>
        <a:p>
          <a:pPr algn="l"/>
          <a:r>
            <a:rPr lang="fr-FR" sz="1400" b="0">
              <a:solidFill>
                <a:sysClr val="windowText" lastClr="000000"/>
              </a:solidFill>
              <a:latin typeface="+mn-lt"/>
              <a:ea typeface="+mn-ea"/>
              <a:cs typeface="+mn-cs"/>
            </a:rPr>
            <a:t>Le budget prévisionnel est à réaliser en fin d'année avant d'entammer l'année "comptable" suivante. Le budget prévisionnel est basé sur la</a:t>
          </a:r>
          <a:r>
            <a:rPr lang="fr-FR" sz="1400" b="0" baseline="0">
              <a:solidFill>
                <a:sysClr val="windowText" lastClr="000000"/>
              </a:solidFill>
              <a:latin typeface="+mn-lt"/>
              <a:ea typeface="+mn-ea"/>
              <a:cs typeface="+mn-cs"/>
            </a:rPr>
            <a:t> forme du budget réel et vous invite à pré-identifier le montant que vous allez dépenser au cours de l'année suivante. C'est donc un exercice de projection et n'est pas relié au registre des transactions. C'est vous qui pouvez indiquer directement les montant que vous estimez dépenser durant l'année.</a:t>
          </a:r>
        </a:p>
        <a:p>
          <a:pPr algn="l"/>
          <a:endParaRPr lang="fr-FR" sz="1400" b="0" baseline="0">
            <a:solidFill>
              <a:sysClr val="windowText" lastClr="000000"/>
            </a:solidFill>
            <a:latin typeface="+mn-lt"/>
            <a:ea typeface="+mn-ea"/>
            <a:cs typeface="+mn-cs"/>
          </a:endParaRPr>
        </a:p>
        <a:p>
          <a:pPr algn="l"/>
          <a:r>
            <a:rPr lang="fr-FR" sz="1400" b="1" baseline="0">
              <a:solidFill>
                <a:sysClr val="windowText" lastClr="000000"/>
              </a:solidFill>
              <a:latin typeface="+mn-lt"/>
              <a:ea typeface="+mn-ea"/>
              <a:cs typeface="+mn-cs"/>
            </a:rPr>
            <a:t>Plusieurs feuilles de budget prévisionnel sont fournies dans le document, choissisez uniquement celle qui concerne la taille de votre CPTS. La seule différence entre les différentes feuilles est le montant fixe versé annuellement dans le cadre de l'ACI. Les ressources fixes mentionnées sont uniquement pour l'année 1 de la CPTS. Si vous </a:t>
          </a:r>
        </a:p>
        <a:p>
          <a:pPr algn="l"/>
          <a:endParaRPr lang="fr-FR" sz="1400" b="1" baseline="0">
            <a:solidFill>
              <a:sysClr val="windowText" lastClr="000000"/>
            </a:solidFill>
            <a:latin typeface="+mn-lt"/>
            <a:ea typeface="+mn-ea"/>
            <a:cs typeface="+mn-cs"/>
          </a:endParaRPr>
        </a:p>
        <a:p>
          <a:pPr algn="l"/>
          <a:r>
            <a:rPr lang="fr-FR" sz="1400" b="0" baseline="0">
              <a:solidFill>
                <a:sysClr val="windowText" lastClr="000000"/>
              </a:solidFill>
              <a:latin typeface="+mn-lt"/>
              <a:ea typeface="+mn-ea"/>
              <a:cs typeface="+mn-cs"/>
            </a:rPr>
            <a:t>Le budget prévisionnel est à utiliser comme une feuille de route budgétaire tout au long de l'année et est à confronter avec le budget réel de façon régulière pour voir si la CPTS a bien pris la trajectoire prévue à l'avance.</a:t>
          </a:r>
        </a:p>
        <a:p>
          <a:pPr algn="l"/>
          <a:endParaRPr lang="fr-FR" sz="1400" b="0" baseline="0">
            <a:solidFill>
              <a:sysClr val="windowText" lastClr="000000"/>
            </a:solidFill>
            <a:latin typeface="+mn-lt"/>
            <a:ea typeface="+mn-ea"/>
            <a:cs typeface="+mn-cs"/>
          </a:endParaRPr>
        </a:p>
        <a:p>
          <a:pPr algn="l"/>
          <a:endParaRPr lang="fr-FR" sz="1400" b="0" baseline="0">
            <a:solidFill>
              <a:sysClr val="windowText" lastClr="000000"/>
            </a:solidFill>
            <a:latin typeface="+mn-lt"/>
            <a:ea typeface="+mn-ea"/>
            <a:cs typeface="+mn-cs"/>
          </a:endParaRPr>
        </a:p>
        <a:p>
          <a:pPr algn="l"/>
          <a:r>
            <a:rPr lang="fr-FR" sz="1400" b="1" u="sng" baseline="0">
              <a:solidFill>
                <a:sysClr val="windowText" lastClr="000000"/>
              </a:solidFill>
              <a:latin typeface="+mn-lt"/>
              <a:ea typeface="+mn-ea"/>
              <a:cs typeface="+mn-cs"/>
            </a:rPr>
            <a:t>REMARQUE :</a:t>
          </a:r>
          <a:r>
            <a:rPr lang="fr-FR" sz="1400" b="1" baseline="0">
              <a:solidFill>
                <a:sysClr val="windowText" lastClr="000000"/>
              </a:solidFill>
              <a:latin typeface="+mn-lt"/>
              <a:ea typeface="+mn-ea"/>
              <a:cs typeface="+mn-cs"/>
            </a:rPr>
            <a:t> POUR PLUS DE DETAIL SUR CES DIFFERENTS OUTILS NOUS VOUS INVITONS A VOUS REFERER AU GUIDE SUR LA GESTION FINANCIERE AINSI QUE LA FEUILLE "FAQ" FOURNIE DANS CE DOCUMENT.</a:t>
          </a:r>
        </a:p>
      </xdr:txBody>
    </xdr:sp>
    <xdr:clientData/>
  </xdr:twoCellAnchor>
  <xdr:twoCellAnchor editAs="oneCell">
    <xdr:from>
      <xdr:col>15</xdr:col>
      <xdr:colOff>127000</xdr:colOff>
      <xdr:row>1</xdr:row>
      <xdr:rowOff>71437</xdr:rowOff>
    </xdr:from>
    <xdr:to>
      <xdr:col>20</xdr:col>
      <xdr:colOff>636016</xdr:colOff>
      <xdr:row>17</xdr:row>
      <xdr:rowOff>30797</xdr:rowOff>
    </xdr:to>
    <xdr:pic>
      <xdr:nvPicPr>
        <xdr:cNvPr id="4" name="Image 3">
          <a:extLst>
            <a:ext uri="{FF2B5EF4-FFF2-40B4-BE49-F238E27FC236}">
              <a16:creationId xmlns:a16="http://schemas.microsoft.com/office/drawing/2014/main" id="{58B4802A-AFC3-AE65-057F-FC7CCE69C3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57000" y="254000"/>
          <a:ext cx="4319016" cy="28803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120650</xdr:colOff>
      <xdr:row>1</xdr:row>
      <xdr:rowOff>57150</xdr:rowOff>
    </xdr:from>
    <xdr:to>
      <xdr:col>15</xdr:col>
      <xdr:colOff>107950</xdr:colOff>
      <xdr:row>126</xdr:row>
      <xdr:rowOff>154214</xdr:rowOff>
    </xdr:to>
    <xdr:sp macro="" textlink="">
      <xdr:nvSpPr>
        <xdr:cNvPr id="2" name="ZoneTexte 1">
          <a:extLst>
            <a:ext uri="{FF2B5EF4-FFF2-40B4-BE49-F238E27FC236}">
              <a16:creationId xmlns:a16="http://schemas.microsoft.com/office/drawing/2014/main" id="{657221B8-EDF8-4825-A4B6-5C288822CC66}"/>
            </a:ext>
          </a:extLst>
        </xdr:cNvPr>
        <xdr:cNvSpPr txBox="1"/>
      </xdr:nvSpPr>
      <xdr:spPr>
        <a:xfrm>
          <a:off x="120650" y="238579"/>
          <a:ext cx="11417300" cy="227756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2400" b="1">
              <a:solidFill>
                <a:schemeClr val="accent2"/>
              </a:solidFill>
            </a:rPr>
            <a:t>Foire</a:t>
          </a:r>
          <a:r>
            <a:rPr lang="fr-FR" sz="2400" b="1" baseline="0">
              <a:solidFill>
                <a:schemeClr val="accent2"/>
              </a:solidFill>
            </a:rPr>
            <a:t> aux questions</a:t>
          </a:r>
          <a:endParaRPr lang="fr-FR" sz="2400" b="1">
            <a:solidFill>
              <a:schemeClr val="accent2"/>
            </a:solidFill>
          </a:endParaRPr>
        </a:p>
        <a:p>
          <a:pPr algn="ctr"/>
          <a:endParaRPr lang="fr-FR" sz="2400">
            <a:solidFill>
              <a:schemeClr val="accent2"/>
            </a:solidFill>
          </a:endParaRPr>
        </a:p>
        <a:p>
          <a:pPr algn="l"/>
          <a:r>
            <a:rPr lang="fr-FR" sz="1400">
              <a:solidFill>
                <a:sysClr val="windowText" lastClr="000000"/>
              </a:solidFill>
            </a:rPr>
            <a:t>Cet</a:t>
          </a:r>
          <a:r>
            <a:rPr lang="fr-FR" sz="1400" baseline="0">
              <a:solidFill>
                <a:sysClr val="windowText" lastClr="000000"/>
              </a:solidFill>
            </a:rPr>
            <a:t>te FAQ vise à compléter la notice d'utilisation et à répondre à certaines questions que vous pourriez vous poser pendant l'utilisation de l'outil. Dans le cas où la notice et la FAQ ne réponde pas à vos interrogations nous vous invitons à vous rapprocher de votre référent Guichet CPTS.</a:t>
          </a:r>
        </a:p>
        <a:p>
          <a:pPr algn="l"/>
          <a:endParaRPr lang="fr-FR" sz="1400" baseline="0">
            <a:solidFill>
              <a:sysClr val="windowText" lastClr="000000"/>
            </a:solidFill>
          </a:endParaRPr>
        </a:p>
        <a:p>
          <a:pPr algn="l"/>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800" b="1">
              <a:solidFill>
                <a:schemeClr val="accent1"/>
              </a:solidFill>
              <a:latin typeface="+mn-lt"/>
              <a:ea typeface="+mn-ea"/>
              <a:cs typeface="+mn-cs"/>
            </a:rPr>
            <a:t>A</a:t>
          </a:r>
          <a:r>
            <a:rPr lang="fr-FR" sz="1800" b="1" baseline="0">
              <a:solidFill>
                <a:schemeClr val="accent1"/>
              </a:solidFill>
              <a:latin typeface="+mn-lt"/>
              <a:ea typeface="+mn-ea"/>
              <a:cs typeface="+mn-cs"/>
            </a:rPr>
            <a:t> quoi correspond l'année de référence dans le registre des transactions ?</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800" b="1" baseline="0">
            <a:solidFill>
              <a:schemeClr val="accen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aseline="0">
              <a:solidFill>
                <a:sysClr val="windowText" lastClr="000000"/>
              </a:solidFill>
              <a:latin typeface="+mn-lt"/>
              <a:ea typeface="+mn-ea"/>
              <a:cs typeface="+mn-cs"/>
            </a:rPr>
            <a:t>L'année de référence est la même chose que votre année comptable. L'année de référence vise à rattacher une transaction à une année comptable. Cela permet de faire une différence entre l'année civile et l'année comptable. Par exemple, votre CPTS a signé son ACI au mois de juin 2025, votre année comptable (ou de référence) s'étendra normalement jusqu'à juin 2026. Si vous avez une transaction au mois de janvier 2026, l'opération doit rester rattachée à l'année comptable 2025 ou votre année 1 (il n'y a pas de formalisme particulier sur la notion d'année de référence, vous pouvez choisir ce qui vous paraît le plus simple). A l'inverse, si vous avez une opération en juillet 2026 mais que cette transaction a servi à l'organisation d'une action en juin 2026, l'année de référence doit également être 2025 (ou année 1) afin de pouvoir rattacher la dépense à la bonne année comptable. Votre expert-comptable peut vous aider sur ce point en cas de besoin.</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800" b="1" baseline="0">
              <a:solidFill>
                <a:schemeClr val="accent1"/>
              </a:solidFill>
              <a:latin typeface="+mn-lt"/>
              <a:ea typeface="+mn-ea"/>
              <a:cs typeface="+mn-cs"/>
            </a:rPr>
            <a:t>Quel intérêt de renseigner l'année de référence ?</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Il y a deux principaux intérêts à compléter l'année de référence dans le registre des transactions :</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 Obtenir des chiffres précis et clair par année comptable</a:t>
          </a: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 Exploiter le potentiel pluriannuel des outils grâce à des filtres dans les différents tableaux.</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Nous vous recommandons donc de renseigner systématiquement à quelle année comptable correspondent les transactions. Il est possible d'automatiser en partie la complétion de cette colonne, cependant, les dates de signatures ACI étant différentes d'une CPTS à l'autre, le remplissage automatique n'a pas été intégré. Si vous avez besoin d'assistance sur le sujet, nous vous invitons à contacter votre référent Guichet CPTS.</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800" b="1" baseline="0">
              <a:solidFill>
                <a:schemeClr val="accent1"/>
              </a:solidFill>
              <a:latin typeface="+mn-lt"/>
              <a:ea typeface="+mn-ea"/>
              <a:cs typeface="+mn-cs"/>
            </a:rPr>
            <a:t>Que renseigner dans le registre des transactions ? Faut-il renseigner les acomptes ?</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800" b="1" baseline="0">
            <a:solidFill>
              <a:schemeClr val="accen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Le registre des transactions vise à enregistrer toutes les transactions de la CPTS, qu'elles soient des entrées ou sorties d'argent. Il est donc nécessaire d'inclure toutes les opérations qui ont contribué aux variations de trésorerie de la CPTS. Concernant les acomptes, si la CPTS a d'ores et déjà versé un acompte à un prestataire externe, celui-ci doit également être renseigné puisque cet argent a été déduit des ressources de la CPTS.</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800" b="1" baseline="0">
              <a:solidFill>
                <a:schemeClr val="accent1"/>
              </a:solidFill>
              <a:latin typeface="+mn-lt"/>
              <a:ea typeface="+mn-ea"/>
              <a:cs typeface="+mn-cs"/>
            </a:rPr>
            <a:t>Faut-il renseigner le salaire brut ou net des salariés dans le registre des transactions ?</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800" b="1" baseline="0">
            <a:solidFill>
              <a:schemeClr val="accen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Dans le registre, il faut mentionner toutes les transactions telles qu'elles le sont. Les salaires ne font pas exception. Vous pouvez remplir le montant total que vous a coûté le salaire de votre coordinateur (cela sera donc le salaire et les cotisations patronales, c'est à dire le salaire brut côté employeur).</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800" b="1" baseline="0">
              <a:solidFill>
                <a:schemeClr val="accent1"/>
              </a:solidFill>
              <a:latin typeface="+mn-lt"/>
              <a:ea typeface="+mn-ea"/>
              <a:cs typeface="+mn-cs"/>
            </a:rPr>
            <a:t>Comment faire pour ventiler les dépenses dans le registre des transactions ?</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800" b="1" baseline="0">
            <a:solidFill>
              <a:schemeClr val="accen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Certaines dépenses comme les salaires peuvent être importantes et il est souvent nécessaire de les ventiler entre plusieurs enveloppes. Pour réaliser cette opération il est nécessaire d'identifier au préalable :</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 A quelles enveloppes la dépense va être imputée</a:t>
          </a: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 Quelle clé de répartition sera utilisée (la clé de répartition correspond à la pondération de la dépense entre les différentes enveloppes identifiées). Il n'existe pas de clé de répartition universelle, nous vous conseillons donc de vous tourner vers votre expert-comptable afin de définir celle qui pourrait convenir le mieux à la situation de votre CPTS pour chaque dépense que vous souhaitez ventiler.</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Ensuite, dans le registre des transactions, il faut réaliser une ligne par enveloppe avec le montant associé.</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Par exemple : pour le mois de janvier le coordinateur a coûté à la CPTS 4000€ cotisations comprises et je souhaite répartir cette somme entre l'enveloppe fonctionnement et la mission 1. Ma clé de répartition sera 50% enveloppe fonctionnement et 50% mission 1. Il faut donc dans un premier temps créer une première ligne avec la date de la transaction, le montant de 2000€ et d'associer cette première dépense à l'enveloppe fonctionnement. Il faudra par la suite créer une seconde ligne avec les même informations (le montant est ici le même puisque nous divisons en deux 4000€), cependant l'enveloppe associée doit être la mission 1.</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L'intérêt de cette méthode est de pouvoir identifier clairement les ressources utilsées par enveloppe et d'être cohérent sur le plan comptable.</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800" b="1" baseline="0">
              <a:solidFill>
                <a:schemeClr val="accent1"/>
              </a:solidFill>
              <a:latin typeface="+mn-lt"/>
              <a:ea typeface="+mn-ea"/>
              <a:cs typeface="+mn-cs"/>
            </a:rPr>
            <a:t>A quelle enveloppe doit-on rattacher les dépenses relatives à la vie associative ?</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Il est préférable de rattacher les dépenses relatives à la vie associative de la CPTS à l'enveloppe fonctionnement puisque cela ne relève pas d'actions relatives à des missions. Tout ce qui concerne les AG, CA, réunions de bureau, indemnisation des professionnels de santé de la gouvernance doit être rattaché à l'enveloppe fonctionnement.</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800" b="1" baseline="0">
              <a:solidFill>
                <a:schemeClr val="accent1"/>
              </a:solidFill>
              <a:latin typeface="+mn-lt"/>
              <a:ea typeface="+mn-ea"/>
              <a:cs typeface="+mn-cs"/>
            </a:rPr>
            <a:t>Quelles différences entre les catégories de dépenses "Matériel | Mobilier" et "Petite Fourniture" ?</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Ces deux catégories sont en apparence similaire, mais il est pourtant nécessaire de les dissocier. Les fournitures correspondent aux consommations courantes de la CPTS pour fonctionner, ce sont des éléments consommables la plupart du temps (papier pour l'imprimante, stylos, marqueurs, trombonnes, classeurs...). Le matériel quant à lui correspond à des éléments plus durables et qui peuvent faire l'objet d'amortissements comptables. Cela peut correspondre par exemple à du mobilier, des ordinateurs, des chaises de bureau.</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800" b="1" baseline="0">
              <a:solidFill>
                <a:schemeClr val="accent1"/>
              </a:solidFill>
              <a:latin typeface="+mn-lt"/>
              <a:ea typeface="+mn-ea"/>
              <a:cs typeface="+mn-cs"/>
            </a:rPr>
            <a:t>A quoi correspond la catégorie des fonds dédiés ? Comment les renseigner dans le registre des transactions ?</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800" b="1" baseline="0">
            <a:solidFill>
              <a:schemeClr val="accen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Les fonds dédiés sont les ressources de l'année comptable précédente qui n'ont pas été utilisés. Cet argent, toujours présent sur les comptes de la CPTS, doit être reporté sur l'année en cours, afin de pouvoir être utilisé. Il est important de noter que les fonds dédiés doivent être associé à l'enveloppe à laquelle ils appartiennent afin de respecter le principe de non fongibilité. </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Exemple : La CPTS dispose de 5000€  de l'année précédente au sein de la mission 1 qui n'ont pas été utilisés. Ces derniers doivent être reportés sur l'enveloppe de la mission 1 de l'année en cours. Dans le registre des transactions il faut donc créer une ligne en indiquant 5000€ avec comme catégorie "Fonds dédiés" et l'associer à l'enveloppe "Mission 1".</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Pour plus de détails sur les fonds dédiés, nous vous invitons à consulter le guide sur la gestion financière en CPTS. En cas de difficulté sur ce sujet, votre expert-comptable peut vous aider.</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800" b="1" baseline="0">
              <a:solidFill>
                <a:schemeClr val="accent1"/>
              </a:solidFill>
              <a:latin typeface="+mn-lt"/>
              <a:ea typeface="+mn-ea"/>
              <a:cs typeface="+mn-cs"/>
            </a:rPr>
            <a:t>Mes tableaux de budget réel et plan de trésorerie ne se mettent pas à jour, comment faire ?</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800" b="1" baseline="0">
            <a:solidFill>
              <a:schemeClr val="accen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Les tableaux de budget réel et du plan de trésorerie sont des tableaux croisés dynamiques. Ces derniers doivent être actualisés manuellement après avoir ajouté des transactions dans le registre, afin qu'elles soient prises en compte. Pour les actualiser : clic droit sur une cellule du tableau =&gt; actualiser.</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800" b="1" baseline="0">
              <a:solidFill>
                <a:schemeClr val="accent1"/>
              </a:solidFill>
              <a:latin typeface="+mn-lt"/>
              <a:ea typeface="+mn-ea"/>
              <a:cs typeface="+mn-cs"/>
            </a:rPr>
            <a:t>Mes tableaux de budget réel et plan de trésorerie sont vides, a quoi est-ce dû ?</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800" b="1" baseline="0">
            <a:solidFill>
              <a:schemeClr val="accen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400" b="0" baseline="0">
              <a:solidFill>
                <a:sysClr val="windowText" lastClr="000000"/>
              </a:solidFill>
              <a:latin typeface="+mn-lt"/>
              <a:ea typeface="+mn-ea"/>
              <a:cs typeface="+mn-cs"/>
            </a:rPr>
            <a:t>Comme indiqué précédemment, les tableaux de budget réel et du plan de trésorerie sont des tableaux croisés dynamiques qui se basent sur le registre des transactions. Si vous avez supprimé les transactions présentes à titre d'exemple dans le registre, les tableaux n'ont plus de données à afficher. Les colonnes et les lignes peuvent donc se retirer car cela n'est pas pertinent de les afficher. Dès que vous integrerai à nouveau des lignes dans le registre des transactions, les colonnes et les lignes réapparaitront automatiquement. Pensez bien à actualiser les tableaux pour que cela prenne effet.</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1400" b="0" baseline="0">
            <a:solidFill>
              <a:sysClr val="windowText" lastClr="000000"/>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421471</xdr:colOff>
      <xdr:row>17</xdr:row>
      <xdr:rowOff>6561</xdr:rowOff>
    </xdr:from>
    <xdr:to>
      <xdr:col>18</xdr:col>
      <xdr:colOff>101878</xdr:colOff>
      <xdr:row>32</xdr:row>
      <xdr:rowOff>28333</xdr:rowOff>
    </xdr:to>
    <xdr:graphicFrame macro="">
      <xdr:nvGraphicFramePr>
        <xdr:cNvPr id="15" name="Graphique 14">
          <a:extLst>
            <a:ext uri="{FF2B5EF4-FFF2-40B4-BE49-F238E27FC236}">
              <a16:creationId xmlns:a16="http://schemas.microsoft.com/office/drawing/2014/main" id="{9E778764-84E5-73DE-0A70-56BF419B5D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440531</xdr:colOff>
      <xdr:row>0</xdr:row>
      <xdr:rowOff>180182</xdr:rowOff>
    </xdr:from>
    <xdr:to>
      <xdr:col>18</xdr:col>
      <xdr:colOff>107156</xdr:colOff>
      <xdr:row>16</xdr:row>
      <xdr:rowOff>2382</xdr:rowOff>
    </xdr:to>
    <xdr:graphicFrame macro="">
      <xdr:nvGraphicFramePr>
        <xdr:cNvPr id="16" name="Graphique 15">
          <a:extLst>
            <a:ext uri="{FF2B5EF4-FFF2-40B4-BE49-F238E27FC236}">
              <a16:creationId xmlns:a16="http://schemas.microsoft.com/office/drawing/2014/main" id="{48D55467-F333-700B-04D6-A8CCD03A4D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392338</xdr:colOff>
      <xdr:row>2</xdr:row>
      <xdr:rowOff>12700</xdr:rowOff>
    </xdr:from>
    <xdr:to>
      <xdr:col>16</xdr:col>
      <xdr:colOff>769055</xdr:colOff>
      <xdr:row>23</xdr:row>
      <xdr:rowOff>176389</xdr:rowOff>
    </xdr:to>
    <xdr:graphicFrame macro="">
      <xdr:nvGraphicFramePr>
        <xdr:cNvPr id="5" name="Graphique 4">
          <a:extLst>
            <a:ext uri="{FF2B5EF4-FFF2-40B4-BE49-F238E27FC236}">
              <a16:creationId xmlns:a16="http://schemas.microsoft.com/office/drawing/2014/main" id="{BD47DDFC-A775-46FC-3556-0B3E3EEF43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Loïc Faugères" id="{5CC3F65B-CFD4-4C8B-A170-0FC55125EF9E}" userId="S::l.faugeres@guichet-cpts-occitanie.org::4825bf38-9ad7-4d2d-ad11-68113b1190d9"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oïc Faugères" refreshedDate="46029.658062152776" createdVersion="8" refreshedVersion="8" minRefreshableVersion="3" recordCount="53" xr:uid="{037EADBD-1949-4838-9798-8FCBFEEAF5D3}">
  <cacheSource type="worksheet">
    <worksheetSource name="Tableau2"/>
  </cacheSource>
  <cacheFields count="13">
    <cacheField name="Date" numFmtId="14">
      <sharedItems containsSemiMixedTypes="0" containsNonDate="0" containsDate="1" containsString="0" minDate="2025-01-01T00:00:00" maxDate="2026-01-06T00:00:00" count="38">
        <d v="2025-01-01T00:00:00"/>
        <d v="2025-01-02T00:00:00"/>
        <d v="2025-01-03T00:00:00"/>
        <d v="2025-01-05T00:00:00"/>
        <d v="2025-01-15T00:00:00"/>
        <d v="2025-01-16T00:00:00"/>
        <d v="2025-01-17T00:00:00"/>
        <d v="2025-01-18T00:00:00"/>
        <d v="2025-01-19T00:00:00"/>
        <d v="2025-01-20T00:00:00"/>
        <d v="2025-01-25T00:00:00"/>
        <d v="2025-02-05T00:00:00"/>
        <d v="2025-02-28T00:00:00"/>
        <d v="2025-06-10T00:00:00"/>
        <d v="2025-07-11T00:00:00"/>
        <d v="2025-08-12T00:00:00"/>
        <d v="2025-09-12T00:00:00"/>
        <d v="2025-10-13T00:00:00"/>
        <d v="2025-11-14T00:00:00"/>
        <d v="2025-12-30T00:00:00"/>
        <d v="2025-03-03T00:00:00"/>
        <d v="2025-05-03T00:00:00"/>
        <d v="2025-06-15T00:00:00"/>
        <d v="2025-07-05T00:00:00"/>
        <d v="2025-08-13T00:00:00"/>
        <d v="2025-09-14T00:00:00"/>
        <d v="2025-09-02T00:00:00"/>
        <d v="2025-12-10T00:00:00"/>
        <d v="2025-01-10T00:00:00"/>
        <d v="2025-12-19T00:00:00"/>
        <d v="2025-11-16T00:00:00"/>
        <d v="2025-04-10T00:00:00"/>
        <d v="2025-05-10T00:00:00"/>
        <d v="2025-06-01T00:00:00"/>
        <d v="2025-12-22T00:00:00"/>
        <d v="2026-01-05T00:00:00"/>
        <d v="2025-12-26T00:00:00"/>
        <d v="2025-12-20T00:00:00"/>
      </sharedItems>
      <fieldGroup par="12"/>
    </cacheField>
    <cacheField name="Année de référence" numFmtId="0">
      <sharedItems containsSemiMixedTypes="0" containsString="0" containsNumber="1" containsInteger="1" minValue="2025" maxValue="2025" count="1">
        <n v="2025"/>
      </sharedItems>
    </cacheField>
    <cacheField name="Mois" numFmtId="14">
      <sharedItems/>
    </cacheField>
    <cacheField name="Libellé" numFmtId="0">
      <sharedItems/>
    </cacheField>
    <cacheField name="Montant" numFmtId="44">
      <sharedItems containsSemiMixedTypes="0" containsString="0" containsNumber="1" containsInteger="1" minValue="50" maxValue="55000"/>
    </cacheField>
    <cacheField name="Catégorie" numFmtId="0">
      <sharedItems count="25">
        <s v="Fonds dédiés"/>
        <s v="Assurances"/>
        <s v="Prestataires externes"/>
        <s v="Loyer"/>
        <s v="Financement fixe ACI"/>
        <s v="Rémunération des professionnels"/>
        <s v="Adhésions"/>
        <s v="Formation"/>
        <s v="Indemnisation gouvernance"/>
        <s v="Frais de déplacement"/>
        <s v="Frais de bouche"/>
        <s v="Location"/>
        <s v="Salaires"/>
        <s v="Dons et legs"/>
        <s v="Aides publiques"/>
        <s v="Financements externes"/>
        <s v="Eau et électricité"/>
        <s v="Matériel | Mobilier"/>
        <s v="Petites fournitures"/>
        <s v="Frais bancaires"/>
        <s v="Financement variable ACI"/>
        <s v="Abonnements"/>
        <s v="Communication"/>
        <s v="Indemnisation des professionnels" u="1"/>
        <s v="Rémunération gouvernance" u="1"/>
      </sharedItems>
    </cacheField>
    <cacheField name="Ressource / dépense" numFmtId="0">
      <sharedItems count="6">
        <s v="Ressources"/>
        <s v="Charges fixes"/>
        <s v="Charges variables"/>
        <s v="Ressource" u="1"/>
        <s v="Charge fixe" u="1"/>
        <s v="Charge variable" u="1"/>
      </sharedItems>
    </cacheField>
    <cacheField name="Type" numFmtId="0">
      <sharedItems count="2">
        <s v="Encaissement"/>
        <s v="Décaissement"/>
      </sharedItems>
    </cacheField>
    <cacheField name="Enveloppe" numFmtId="0">
      <sharedItems count="7">
        <s v="Mission 1"/>
        <s v="Fonctionnement"/>
        <s v="Mission 4"/>
        <s v="Mission 2"/>
        <s v="Mission 3"/>
        <s v="Mission 5"/>
        <s v="Mission 6"/>
      </sharedItems>
    </cacheField>
    <cacheField name="Action" numFmtId="0">
      <sharedItems containsBlank="1"/>
    </cacheField>
    <cacheField name="Evenement" numFmtId="0">
      <sharedItems containsBlank="1"/>
    </cacheField>
    <cacheField name="Jours (Date)" numFmtId="0" databaseField="0">
      <fieldGroup base="0">
        <rangePr groupBy="days" startDate="2025-01-01T00:00:00" endDate="2026-01-06T00:00:00"/>
        <groupItems count="368">
          <s v="&lt;01/01/2025"/>
          <s v="01-janv"/>
          <s v="02-janv"/>
          <s v="03-janv"/>
          <s v="04-janv"/>
          <s v="05-janv"/>
          <s v="06-janv"/>
          <s v="07-janv"/>
          <s v="08-janv"/>
          <s v="09-janv"/>
          <s v="10-janv"/>
          <s v="11-janv"/>
          <s v="12-janv"/>
          <s v="13-janv"/>
          <s v="14-janv"/>
          <s v="15-janv"/>
          <s v="16-janv"/>
          <s v="17-janv"/>
          <s v="18-janv"/>
          <s v="19-janv"/>
          <s v="20-janv"/>
          <s v="21-janv"/>
          <s v="22-janv"/>
          <s v="23-janv"/>
          <s v="24-janv"/>
          <s v="25-janv"/>
          <s v="26-janv"/>
          <s v="27-janv"/>
          <s v="28-janv"/>
          <s v="29-janv"/>
          <s v="30-janv"/>
          <s v="31-janv"/>
          <s v="01-févr"/>
          <s v="02-févr"/>
          <s v="03-févr"/>
          <s v="04-févr"/>
          <s v="05-févr"/>
          <s v="06-févr"/>
          <s v="07-févr"/>
          <s v="08-févr"/>
          <s v="09-févr"/>
          <s v="10-févr"/>
          <s v="11-févr"/>
          <s v="12-févr"/>
          <s v="13-févr"/>
          <s v="14-févr"/>
          <s v="15-févr"/>
          <s v="16-févr"/>
          <s v="17-févr"/>
          <s v="18-févr"/>
          <s v="19-févr"/>
          <s v="20-févr"/>
          <s v="21-févr"/>
          <s v="22-févr"/>
          <s v="23-févr"/>
          <s v="24-févr"/>
          <s v="25-févr"/>
          <s v="26-févr"/>
          <s v="27-févr"/>
          <s v="28-févr"/>
          <s v="29-févr"/>
          <s v="01-mars"/>
          <s v="02-mars"/>
          <s v="03-mars"/>
          <s v="04-mars"/>
          <s v="05-mars"/>
          <s v="06-mars"/>
          <s v="07-mars"/>
          <s v="08-mars"/>
          <s v="09-mars"/>
          <s v="10-mars"/>
          <s v="11-mars"/>
          <s v="12-mars"/>
          <s v="13-mars"/>
          <s v="14-mars"/>
          <s v="15-mars"/>
          <s v="16-mars"/>
          <s v="17-mars"/>
          <s v="18-mars"/>
          <s v="19-mars"/>
          <s v="20-mars"/>
          <s v="21-mars"/>
          <s v="22-mars"/>
          <s v="23-mars"/>
          <s v="24-mars"/>
          <s v="25-mars"/>
          <s v="26-mars"/>
          <s v="27-mars"/>
          <s v="28-mars"/>
          <s v="29-mars"/>
          <s v="30-mars"/>
          <s v="31-mars"/>
          <s v="01-avr"/>
          <s v="02-avr"/>
          <s v="03-avr"/>
          <s v="04-avr"/>
          <s v="05-avr"/>
          <s v="06-avr"/>
          <s v="07-avr"/>
          <s v="08-avr"/>
          <s v="09-avr"/>
          <s v="10-avr"/>
          <s v="11-avr"/>
          <s v="12-avr"/>
          <s v="13-avr"/>
          <s v="14-avr"/>
          <s v="15-avr"/>
          <s v="16-avr"/>
          <s v="17-avr"/>
          <s v="18-avr"/>
          <s v="19-avr"/>
          <s v="20-avr"/>
          <s v="21-avr"/>
          <s v="22-avr"/>
          <s v="23-avr"/>
          <s v="24-avr"/>
          <s v="25-avr"/>
          <s v="26-avr"/>
          <s v="27-avr"/>
          <s v="28-avr"/>
          <s v="29-avr"/>
          <s v="30-avr"/>
          <s v="01-mai"/>
          <s v="02-mai"/>
          <s v="03-mai"/>
          <s v="04-mai"/>
          <s v="05-mai"/>
          <s v="06-mai"/>
          <s v="07-mai"/>
          <s v="08-mai"/>
          <s v="09-mai"/>
          <s v="10-mai"/>
          <s v="11-mai"/>
          <s v="12-mai"/>
          <s v="13-mai"/>
          <s v="14-mai"/>
          <s v="15-mai"/>
          <s v="16-mai"/>
          <s v="17-mai"/>
          <s v="18-mai"/>
          <s v="19-mai"/>
          <s v="20-mai"/>
          <s v="21-mai"/>
          <s v="22-mai"/>
          <s v="23-mai"/>
          <s v="24-mai"/>
          <s v="25-mai"/>
          <s v="26-mai"/>
          <s v="27-mai"/>
          <s v="28-mai"/>
          <s v="29-mai"/>
          <s v="30-mai"/>
          <s v="31-mai"/>
          <s v="01-juin"/>
          <s v="02-juin"/>
          <s v="03-juin"/>
          <s v="04-juin"/>
          <s v="05-juin"/>
          <s v="06-juin"/>
          <s v="07-juin"/>
          <s v="08-juin"/>
          <s v="09-juin"/>
          <s v="10-juin"/>
          <s v="11-juin"/>
          <s v="12-juin"/>
          <s v="13-juin"/>
          <s v="14-juin"/>
          <s v="15-juin"/>
          <s v="16-juin"/>
          <s v="17-juin"/>
          <s v="18-juin"/>
          <s v="19-juin"/>
          <s v="20-juin"/>
          <s v="21-juin"/>
          <s v="22-juin"/>
          <s v="23-juin"/>
          <s v="24-juin"/>
          <s v="25-juin"/>
          <s v="26-juin"/>
          <s v="27-juin"/>
          <s v="28-juin"/>
          <s v="29-juin"/>
          <s v="30-juin"/>
          <s v="01-juil"/>
          <s v="02-juil"/>
          <s v="03-juil"/>
          <s v="04-juil"/>
          <s v="05-juil"/>
          <s v="06-juil"/>
          <s v="07-juil"/>
          <s v="08-juil"/>
          <s v="09-juil"/>
          <s v="10-juil"/>
          <s v="11-juil"/>
          <s v="12-juil"/>
          <s v="13-juil"/>
          <s v="14-juil"/>
          <s v="15-juil"/>
          <s v="16-juil"/>
          <s v="17-juil"/>
          <s v="18-juil"/>
          <s v="19-juil"/>
          <s v="20-juil"/>
          <s v="21-juil"/>
          <s v="22-juil"/>
          <s v="23-juil"/>
          <s v="24-juil"/>
          <s v="25-juil"/>
          <s v="26-juil"/>
          <s v="27-juil"/>
          <s v="28-juil"/>
          <s v="29-juil"/>
          <s v="30-juil"/>
          <s v="31-juil"/>
          <s v="01-août"/>
          <s v="02-août"/>
          <s v="03-août"/>
          <s v="04-août"/>
          <s v="05-août"/>
          <s v="06-août"/>
          <s v="07-août"/>
          <s v="08-août"/>
          <s v="09-août"/>
          <s v="10-août"/>
          <s v="11-août"/>
          <s v="12-août"/>
          <s v="13-août"/>
          <s v="14-août"/>
          <s v="15-août"/>
          <s v="16-août"/>
          <s v="17-août"/>
          <s v="18-août"/>
          <s v="19-août"/>
          <s v="20-août"/>
          <s v="21-août"/>
          <s v="22-août"/>
          <s v="23-août"/>
          <s v="24-août"/>
          <s v="25-août"/>
          <s v="26-août"/>
          <s v="27-août"/>
          <s v="28-août"/>
          <s v="29-août"/>
          <s v="30-août"/>
          <s v="31-août"/>
          <s v="01-sept"/>
          <s v="02-sept"/>
          <s v="03-sept"/>
          <s v="04-sept"/>
          <s v="05-sept"/>
          <s v="06-sept"/>
          <s v="07-sept"/>
          <s v="08-sept"/>
          <s v="09-sept"/>
          <s v="10-sept"/>
          <s v="11-sept"/>
          <s v="12-sept"/>
          <s v="13-sept"/>
          <s v="14-sept"/>
          <s v="15-sept"/>
          <s v="16-sept"/>
          <s v="17-sept"/>
          <s v="18-sept"/>
          <s v="19-sept"/>
          <s v="20-sept"/>
          <s v="21-sept"/>
          <s v="22-sept"/>
          <s v="23-sept"/>
          <s v="24-sept"/>
          <s v="25-sept"/>
          <s v="26-sept"/>
          <s v="27-sept"/>
          <s v="28-sept"/>
          <s v="29-sept"/>
          <s v="30-sept"/>
          <s v="01-oct"/>
          <s v="02-oct"/>
          <s v="03-oct"/>
          <s v="04-oct"/>
          <s v="05-oct"/>
          <s v="06-oct"/>
          <s v="07-oct"/>
          <s v="08-oct"/>
          <s v="09-oct"/>
          <s v="10-oct"/>
          <s v="11-oct"/>
          <s v="12-oct"/>
          <s v="13-oct"/>
          <s v="14-oct"/>
          <s v="15-oct"/>
          <s v="16-oct"/>
          <s v="17-oct"/>
          <s v="18-oct"/>
          <s v="19-oct"/>
          <s v="20-oct"/>
          <s v="21-oct"/>
          <s v="22-oct"/>
          <s v="23-oct"/>
          <s v="24-oct"/>
          <s v="25-oct"/>
          <s v="26-oct"/>
          <s v="27-oct"/>
          <s v="28-oct"/>
          <s v="29-oct"/>
          <s v="30-oct"/>
          <s v="31-oct"/>
          <s v="01-nov"/>
          <s v="02-nov"/>
          <s v="03-nov"/>
          <s v="04-nov"/>
          <s v="05-nov"/>
          <s v="06-nov"/>
          <s v="07-nov"/>
          <s v="08-nov"/>
          <s v="09-nov"/>
          <s v="10-nov"/>
          <s v="11-nov"/>
          <s v="12-nov"/>
          <s v="13-nov"/>
          <s v="14-nov"/>
          <s v="15-nov"/>
          <s v="16-nov"/>
          <s v="17-nov"/>
          <s v="18-nov"/>
          <s v="19-nov"/>
          <s v="20-nov"/>
          <s v="21-nov"/>
          <s v="22-nov"/>
          <s v="23-nov"/>
          <s v="24-nov"/>
          <s v="25-nov"/>
          <s v="26-nov"/>
          <s v="27-nov"/>
          <s v="28-nov"/>
          <s v="29-nov"/>
          <s v="30-nov"/>
          <s v="01-déc"/>
          <s v="02-déc"/>
          <s v="03-déc"/>
          <s v="04-déc"/>
          <s v="05-déc"/>
          <s v="06-déc"/>
          <s v="07-déc"/>
          <s v="08-déc"/>
          <s v="09-déc"/>
          <s v="10-déc"/>
          <s v="11-déc"/>
          <s v="12-déc"/>
          <s v="13-déc"/>
          <s v="14-déc"/>
          <s v="15-déc"/>
          <s v="16-déc"/>
          <s v="17-déc"/>
          <s v="18-déc"/>
          <s v="19-déc"/>
          <s v="20-déc"/>
          <s v="21-déc"/>
          <s v="22-déc"/>
          <s v="23-déc"/>
          <s v="24-déc"/>
          <s v="25-déc"/>
          <s v="26-déc"/>
          <s v="27-déc"/>
          <s v="28-déc"/>
          <s v="29-déc"/>
          <s v="30-déc"/>
          <s v="31-déc"/>
          <s v="&gt;06/01/2026"/>
        </groupItems>
      </fieldGroup>
    </cacheField>
    <cacheField name="Mois (Date)" numFmtId="0" databaseField="0">
      <fieldGroup base="0">
        <rangePr groupBy="months" startDate="2025-01-01T00:00:00" endDate="2026-01-06T00:00:00"/>
        <groupItems count="14">
          <s v="&lt;01/01/2025"/>
          <s v="janv"/>
          <s v="févr"/>
          <s v="mars"/>
          <s v="avr"/>
          <s v="mai"/>
          <s v="juin"/>
          <s v="juil"/>
          <s v="août"/>
          <s v="sept"/>
          <s v="oct"/>
          <s v="nov"/>
          <s v="déc"/>
          <s v="&gt;06/01/2026"/>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x v="0"/>
    <x v="0"/>
    <s v="janvier"/>
    <s v="Fonds dédiés mission 1"/>
    <n v="4000"/>
    <x v="0"/>
    <x v="0"/>
    <x v="0"/>
    <x v="0"/>
    <m/>
    <m/>
  </r>
  <r>
    <x v="1"/>
    <x v="0"/>
    <s v="janvier"/>
    <s v="Assurances"/>
    <n v="500"/>
    <x v="1"/>
    <x v="1"/>
    <x v="1"/>
    <x v="1"/>
    <m/>
    <m/>
  </r>
  <r>
    <x v="1"/>
    <x v="0"/>
    <s v="janvier"/>
    <s v="Mise en situation plan de crise"/>
    <n v="3000"/>
    <x v="2"/>
    <x v="2"/>
    <x v="1"/>
    <x v="2"/>
    <m/>
    <m/>
  </r>
  <r>
    <x v="2"/>
    <x v="0"/>
    <s v="janvier"/>
    <s v="Assurances"/>
    <n v="500"/>
    <x v="1"/>
    <x v="1"/>
    <x v="1"/>
    <x v="1"/>
    <m/>
    <m/>
  </r>
  <r>
    <x v="3"/>
    <x v="0"/>
    <s v="janvier"/>
    <s v="Loyer"/>
    <n v="700"/>
    <x v="3"/>
    <x v="1"/>
    <x v="1"/>
    <x v="1"/>
    <m/>
    <m/>
  </r>
  <r>
    <x v="4"/>
    <x v="0"/>
    <s v="janvier"/>
    <s v="Financement ACI"/>
    <n v="50000"/>
    <x v="4"/>
    <x v="0"/>
    <x v="0"/>
    <x v="1"/>
    <m/>
    <m/>
  </r>
  <r>
    <x v="4"/>
    <x v="0"/>
    <s v="janvier"/>
    <s v="Groupe de travail accès MT"/>
    <n v="500"/>
    <x v="5"/>
    <x v="2"/>
    <x v="1"/>
    <x v="0"/>
    <m/>
    <m/>
  </r>
  <r>
    <x v="5"/>
    <x v="0"/>
    <s v="janvier"/>
    <s v="Financement ACI"/>
    <n v="55000"/>
    <x v="4"/>
    <x v="0"/>
    <x v="0"/>
    <x v="0"/>
    <m/>
    <m/>
  </r>
  <r>
    <x v="5"/>
    <x v="0"/>
    <s v="janvier"/>
    <s v="Financement ACI"/>
    <n v="25000"/>
    <x v="4"/>
    <x v="0"/>
    <x v="0"/>
    <x v="3"/>
    <m/>
    <m/>
  </r>
  <r>
    <x v="5"/>
    <x v="0"/>
    <s v="janvier"/>
    <s v="Groupe de travail parcours IC"/>
    <n v="500"/>
    <x v="5"/>
    <x v="2"/>
    <x v="1"/>
    <x v="3"/>
    <m/>
    <m/>
  </r>
  <r>
    <x v="6"/>
    <x v="0"/>
    <s v="janvier"/>
    <s v="Financement ACI"/>
    <n v="10000"/>
    <x v="4"/>
    <x v="0"/>
    <x v="0"/>
    <x v="4"/>
    <m/>
    <m/>
  </r>
  <r>
    <x v="7"/>
    <x v="0"/>
    <s v="janvier"/>
    <s v="Financement ACI"/>
    <n v="25000"/>
    <x v="4"/>
    <x v="0"/>
    <x v="0"/>
    <x v="2"/>
    <m/>
    <m/>
  </r>
  <r>
    <x v="8"/>
    <x v="0"/>
    <s v="janvier"/>
    <s v="Financement ACI"/>
    <n v="7500"/>
    <x v="4"/>
    <x v="0"/>
    <x v="0"/>
    <x v="5"/>
    <m/>
    <m/>
  </r>
  <r>
    <x v="9"/>
    <x v="0"/>
    <s v="janvier"/>
    <s v="Financement ACI"/>
    <n v="5000"/>
    <x v="4"/>
    <x v="0"/>
    <x v="0"/>
    <x v="6"/>
    <m/>
    <m/>
  </r>
  <r>
    <x v="10"/>
    <x v="0"/>
    <s v="janvier"/>
    <s v="Revenus adhésions"/>
    <n v="2000"/>
    <x v="6"/>
    <x v="0"/>
    <x v="0"/>
    <x v="1"/>
    <m/>
    <m/>
  </r>
  <r>
    <x v="11"/>
    <x v="0"/>
    <s v="février"/>
    <s v="Loyer"/>
    <n v="700"/>
    <x v="3"/>
    <x v="1"/>
    <x v="1"/>
    <x v="1"/>
    <m/>
    <m/>
  </r>
  <r>
    <x v="12"/>
    <x v="0"/>
    <s v="février"/>
    <s v="Formation RGPD"/>
    <n v="1200"/>
    <x v="7"/>
    <x v="2"/>
    <x v="1"/>
    <x v="6"/>
    <s v="Formation PS"/>
    <m/>
  </r>
  <r>
    <x v="13"/>
    <x v="0"/>
    <s v="juin"/>
    <s v="Réunion de bureau"/>
    <n v="200"/>
    <x v="8"/>
    <x v="2"/>
    <x v="1"/>
    <x v="1"/>
    <m/>
    <m/>
  </r>
  <r>
    <x v="14"/>
    <x v="0"/>
    <s v="juillet"/>
    <s v="Rencontre hôpital"/>
    <n v="50"/>
    <x v="9"/>
    <x v="2"/>
    <x v="1"/>
    <x v="3"/>
    <s v="Parcours IC"/>
    <m/>
  </r>
  <r>
    <x v="15"/>
    <x v="0"/>
    <s v="août"/>
    <s v="Traiteur"/>
    <n v="350"/>
    <x v="10"/>
    <x v="2"/>
    <x v="1"/>
    <x v="1"/>
    <m/>
    <s v="AG"/>
  </r>
  <r>
    <x v="16"/>
    <x v="0"/>
    <s v="septembre"/>
    <s v="Location de salle"/>
    <n v="250"/>
    <x v="11"/>
    <x v="2"/>
    <x v="1"/>
    <x v="1"/>
    <m/>
    <s v="AG"/>
  </r>
  <r>
    <x v="17"/>
    <x v="0"/>
    <s v="octobre"/>
    <s v="Matinée dépistage cancer"/>
    <n v="100"/>
    <x v="9"/>
    <x v="2"/>
    <x v="1"/>
    <x v="4"/>
    <s v="Dépistage cancer"/>
    <s v="Marché de Montpellier"/>
  </r>
  <r>
    <x v="17"/>
    <x v="0"/>
    <s v="octobre"/>
    <s v="Matinée dépistage cancer"/>
    <n v="500"/>
    <x v="5"/>
    <x v="2"/>
    <x v="1"/>
    <x v="4"/>
    <s v="Dépistage cancer"/>
    <s v="Marché de Montpellier"/>
  </r>
  <r>
    <x v="18"/>
    <x v="0"/>
    <s v="novembre"/>
    <s v="Groupe de travail accès MT"/>
    <n v="500"/>
    <x v="5"/>
    <x v="2"/>
    <x v="1"/>
    <x v="0"/>
    <s v="Gestion ligne téléphonique"/>
    <m/>
  </r>
  <r>
    <x v="19"/>
    <x v="0"/>
    <s v="décembre"/>
    <s v="Salaire coordinateur"/>
    <n v="1000"/>
    <x v="12"/>
    <x v="1"/>
    <x v="1"/>
    <x v="1"/>
    <m/>
    <m/>
  </r>
  <r>
    <x v="19"/>
    <x v="0"/>
    <s v="décembre"/>
    <s v="Salaire coordinateur"/>
    <n v="1000"/>
    <x v="12"/>
    <x v="1"/>
    <x v="1"/>
    <x v="0"/>
    <m/>
    <m/>
  </r>
  <r>
    <x v="19"/>
    <x v="0"/>
    <s v="décembre"/>
    <s v="Salaire coordinateur"/>
    <n v="1000"/>
    <x v="12"/>
    <x v="1"/>
    <x v="1"/>
    <x v="3"/>
    <m/>
    <m/>
  </r>
  <r>
    <x v="11"/>
    <x v="0"/>
    <s v="février"/>
    <s v="RCP"/>
    <n v="300"/>
    <x v="5"/>
    <x v="2"/>
    <x v="1"/>
    <x v="5"/>
    <m/>
    <s v="RCP"/>
  </r>
  <r>
    <x v="20"/>
    <x v="0"/>
    <s v="mars"/>
    <s v="Dons"/>
    <n v="2000"/>
    <x v="13"/>
    <x v="0"/>
    <x v="0"/>
    <x v="1"/>
    <m/>
    <m/>
  </r>
  <r>
    <x v="21"/>
    <x v="0"/>
    <s v="mai"/>
    <s v="Aides OPCO"/>
    <n v="800"/>
    <x v="14"/>
    <x v="0"/>
    <x v="0"/>
    <x v="1"/>
    <m/>
    <m/>
  </r>
  <r>
    <x v="22"/>
    <x v="0"/>
    <s v="juin"/>
    <s v="Financement appel à projet santé mentale"/>
    <n v="10000"/>
    <x v="15"/>
    <x v="0"/>
    <x v="0"/>
    <x v="4"/>
    <m/>
    <m/>
  </r>
  <r>
    <x v="23"/>
    <x v="0"/>
    <s v="juillet"/>
    <s v="Consommation électricité et eau"/>
    <n v="150"/>
    <x v="16"/>
    <x v="2"/>
    <x v="1"/>
    <x v="1"/>
    <m/>
    <m/>
  </r>
  <r>
    <x v="24"/>
    <x v="0"/>
    <s v="août"/>
    <s v="Achat bureaux et ordinateurs"/>
    <n v="5000"/>
    <x v="17"/>
    <x v="2"/>
    <x v="1"/>
    <x v="1"/>
    <m/>
    <m/>
  </r>
  <r>
    <x v="25"/>
    <x v="0"/>
    <s v="septembre"/>
    <s v="Avocat"/>
    <n v="500"/>
    <x v="2"/>
    <x v="2"/>
    <x v="1"/>
    <x v="1"/>
    <m/>
    <m/>
  </r>
  <r>
    <x v="26"/>
    <x v="0"/>
    <s v="septembre"/>
    <s v="Achat classeurs, badges, stylos"/>
    <n v="100"/>
    <x v="18"/>
    <x v="2"/>
    <x v="1"/>
    <x v="1"/>
    <m/>
    <m/>
  </r>
  <r>
    <x v="27"/>
    <x v="0"/>
    <s v="décembre"/>
    <s v="Forfait carte bleue"/>
    <n v="50"/>
    <x v="19"/>
    <x v="1"/>
    <x v="1"/>
    <x v="1"/>
    <m/>
    <m/>
  </r>
  <r>
    <x v="28"/>
    <x v="0"/>
    <s v="janvier"/>
    <s v="Financement variable ACI"/>
    <n v="15000"/>
    <x v="20"/>
    <x v="0"/>
    <x v="0"/>
    <x v="3"/>
    <m/>
    <m/>
  </r>
  <r>
    <x v="29"/>
    <x v="0"/>
    <s v="décembre"/>
    <s v="Abonnement logiciel"/>
    <n v="50"/>
    <x v="21"/>
    <x v="1"/>
    <x v="1"/>
    <x v="1"/>
    <m/>
    <m/>
  </r>
  <r>
    <x v="30"/>
    <x v="0"/>
    <s v="novembre"/>
    <s v="Affiches médecin traitant"/>
    <n v="300"/>
    <x v="22"/>
    <x v="2"/>
    <x v="1"/>
    <x v="0"/>
    <m/>
    <m/>
  </r>
  <r>
    <x v="31"/>
    <x v="0"/>
    <s v="avril"/>
    <s v="Assurances"/>
    <n v="500"/>
    <x v="1"/>
    <x v="1"/>
    <x v="1"/>
    <x v="1"/>
    <m/>
    <m/>
  </r>
  <r>
    <x v="32"/>
    <x v="0"/>
    <s v="mai"/>
    <s v="Abonnement logiciel"/>
    <n v="150"/>
    <x v="21"/>
    <x v="1"/>
    <x v="1"/>
    <x v="1"/>
    <m/>
    <m/>
  </r>
  <r>
    <x v="33"/>
    <x v="0"/>
    <s v="juin"/>
    <s v="Réunion de bureau"/>
    <n v="200"/>
    <x v="5"/>
    <x v="2"/>
    <x v="1"/>
    <x v="1"/>
    <m/>
    <m/>
  </r>
  <r>
    <x v="34"/>
    <x v="0"/>
    <s v="décembre"/>
    <s v="Remboursement frais déplacement"/>
    <n v="200"/>
    <x v="9"/>
    <x v="2"/>
    <x v="1"/>
    <x v="4"/>
    <m/>
    <m/>
  </r>
  <r>
    <x v="34"/>
    <x v="0"/>
    <s v="décembre"/>
    <s v="Rémunération PS"/>
    <n v="500"/>
    <x v="5"/>
    <x v="2"/>
    <x v="1"/>
    <x v="4"/>
    <m/>
    <m/>
  </r>
  <r>
    <x v="35"/>
    <x v="0"/>
    <s v="janvier"/>
    <s v="Location de salle"/>
    <n v="500"/>
    <x v="11"/>
    <x v="2"/>
    <x v="1"/>
    <x v="4"/>
    <m/>
    <m/>
  </r>
  <r>
    <x v="36"/>
    <x v="0"/>
    <s v="décembre"/>
    <s v="Salaire coordinateur"/>
    <n v="2000"/>
    <x v="12"/>
    <x v="1"/>
    <x v="1"/>
    <x v="1"/>
    <m/>
    <m/>
  </r>
  <r>
    <x v="36"/>
    <x v="0"/>
    <s v="décembre"/>
    <s v="Salaire coordinateur"/>
    <n v="2000"/>
    <x v="12"/>
    <x v="1"/>
    <x v="1"/>
    <x v="0"/>
    <m/>
    <m/>
  </r>
  <r>
    <x v="33"/>
    <x v="0"/>
    <s v="juin"/>
    <s v="Indemnisation gouvernance"/>
    <n v="200"/>
    <x v="8"/>
    <x v="2"/>
    <x v="1"/>
    <x v="1"/>
    <m/>
    <m/>
  </r>
  <r>
    <x v="37"/>
    <x v="0"/>
    <s v="décembre"/>
    <s v="Frais de déplacement"/>
    <n v="200"/>
    <x v="9"/>
    <x v="2"/>
    <x v="1"/>
    <x v="4"/>
    <m/>
    <m/>
  </r>
  <r>
    <x v="37"/>
    <x v="0"/>
    <s v="décembre"/>
    <s v="Rémunération PS"/>
    <n v="500"/>
    <x v="5"/>
    <x v="2"/>
    <x v="1"/>
    <x v="4"/>
    <m/>
    <m/>
  </r>
  <r>
    <x v="35"/>
    <x v="0"/>
    <s v="janvier"/>
    <s v="Location de salle"/>
    <n v="500"/>
    <x v="11"/>
    <x v="2"/>
    <x v="1"/>
    <x v="4"/>
    <m/>
    <m/>
  </r>
  <r>
    <x v="36"/>
    <x v="0"/>
    <s v="décembre"/>
    <s v="Salaire coordinateur"/>
    <n v="2000"/>
    <x v="12"/>
    <x v="1"/>
    <x v="1"/>
    <x v="1"/>
    <m/>
    <m/>
  </r>
  <r>
    <x v="36"/>
    <x v="0"/>
    <s v="décembre"/>
    <s v="Salaire coordinateur"/>
    <n v="2000"/>
    <x v="12"/>
    <x v="1"/>
    <x v="1"/>
    <x v="0"/>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1013416-7AF2-4129-82F5-CCB1120400CC}" name="Tableau croisé dynamique1" cacheId="0" applyNumberFormats="0" applyBorderFormats="0" applyFontFormats="0" applyPatternFormats="0" applyAlignmentFormats="0" applyWidthHeightFormats="1" dataCaption="Valeurs" grandTotalCaption="Total par enveloppe" updatedVersion="8" minRefreshableVersion="3" useAutoFormatting="1" rowGrandTotals="0" itemPrintTitles="1" createdVersion="8" indent="0" outline="1" outlineData="1" multipleFieldFilters="0" chartFormat="29">
  <location ref="A3:N22" firstHeaderRow="1" firstDataRow="2" firstDataCol="1" rowPageCount="1" colPageCount="1"/>
  <pivotFields count="13">
    <pivotField numFmtId="14" subtotalTop="0" showAll="0">
      <items count="39">
        <item x="2"/>
        <item x="3"/>
        <item x="4"/>
        <item x="5"/>
        <item x="6"/>
        <item x="7"/>
        <item x="8"/>
        <item x="9"/>
        <item x="12"/>
        <item x="13"/>
        <item x="14"/>
        <item x="15"/>
        <item x="16"/>
        <item x="17"/>
        <item x="18"/>
        <item x="19"/>
        <item x="10"/>
        <item x="11"/>
        <item x="0"/>
        <item x="1"/>
        <item x="20"/>
        <item x="21"/>
        <item x="22"/>
        <item x="23"/>
        <item x="24"/>
        <item x="25"/>
        <item x="26"/>
        <item x="27"/>
        <item x="28"/>
        <item x="29"/>
        <item x="30"/>
        <item x="31"/>
        <item x="32"/>
        <item x="33"/>
        <item x="34"/>
        <item x="35"/>
        <item x="36"/>
        <item x="37"/>
        <item t="default"/>
      </items>
    </pivotField>
    <pivotField axis="axisPage" subtotalTop="0" showAll="0">
      <items count="2">
        <item x="0"/>
        <item t="default"/>
      </items>
    </pivotField>
    <pivotField subtotalTop="0" showAll="0"/>
    <pivotField subtotalTop="0" showAll="0"/>
    <pivotField dataField="1" numFmtId="44" subtotalTop="0" showAll="0"/>
    <pivotField subtotalTop="0" showAll="0"/>
    <pivotField subtotalTop="0" showAll="0"/>
    <pivotField axis="axisRow" subtotalTop="0" showAll="0">
      <items count="3">
        <item x="0"/>
        <item x="1"/>
        <item t="default"/>
      </items>
    </pivotField>
    <pivotField axis="axisRow" subtotalTop="0" showAll="0">
      <items count="8">
        <item x="1"/>
        <item x="0"/>
        <item x="3"/>
        <item x="4"/>
        <item x="2"/>
        <item x="5"/>
        <item x="6"/>
        <item t="default"/>
      </items>
    </pivotField>
    <pivotField subtotalTop="0" showAll="0"/>
    <pivotField subtotalTop="0" showAll="0"/>
    <pivotField subtotalTop="0" showAll="0">
      <items count="369">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x="0"/>
        <item x="367"/>
        <item t="default"/>
      </items>
    </pivotField>
    <pivotField axis="axisCol" subtotalTop="0" showAll="0">
      <items count="15">
        <item sd="0" x="0"/>
        <item x="1"/>
        <item x="2"/>
        <item sd="0" x="3"/>
        <item sd="0" x="4"/>
        <item sd="0" x="5"/>
        <item x="6"/>
        <item x="7"/>
        <item x="8"/>
        <item x="9"/>
        <item x="10"/>
        <item x="11"/>
        <item x="12"/>
        <item sd="0" x="13"/>
        <item t="default"/>
      </items>
    </pivotField>
  </pivotFields>
  <rowFields count="2">
    <field x="7"/>
    <field x="8"/>
  </rowFields>
  <rowItems count="18">
    <i>
      <x/>
    </i>
    <i r="1">
      <x/>
    </i>
    <i r="1">
      <x v="1"/>
    </i>
    <i r="1">
      <x v="2"/>
    </i>
    <i r="1">
      <x v="3"/>
    </i>
    <i r="1">
      <x v="4"/>
    </i>
    <i r="1">
      <x v="5"/>
    </i>
    <i r="1">
      <x v="6"/>
    </i>
    <i t="default">
      <x/>
    </i>
    <i>
      <x v="1"/>
    </i>
    <i r="1">
      <x/>
    </i>
    <i r="1">
      <x v="1"/>
    </i>
    <i r="1">
      <x v="2"/>
    </i>
    <i r="1">
      <x v="3"/>
    </i>
    <i r="1">
      <x v="4"/>
    </i>
    <i r="1">
      <x v="5"/>
    </i>
    <i r="1">
      <x v="6"/>
    </i>
    <i t="default">
      <x v="1"/>
    </i>
  </rowItems>
  <colFields count="1">
    <field x="12"/>
  </colFields>
  <colItems count="13">
    <i>
      <x v="1"/>
    </i>
    <i>
      <x v="2"/>
    </i>
    <i>
      <x v="3"/>
    </i>
    <i>
      <x v="4"/>
    </i>
    <i>
      <x v="5"/>
    </i>
    <i>
      <x v="6"/>
    </i>
    <i>
      <x v="7"/>
    </i>
    <i>
      <x v="8"/>
    </i>
    <i>
      <x v="9"/>
    </i>
    <i>
      <x v="10"/>
    </i>
    <i>
      <x v="11"/>
    </i>
    <i>
      <x v="12"/>
    </i>
    <i t="grand">
      <x/>
    </i>
  </colItems>
  <pageFields count="1">
    <pageField fld="1" hier="-1"/>
  </pageFields>
  <dataFields count="1">
    <dataField name="Somme de Montant" fld="4" baseField="0" baseItem="0" numFmtId="44"/>
  </dataFields>
  <formats count="10">
    <format dxfId="20">
      <pivotArea type="all" dataOnly="0" outline="0" fieldPosition="0"/>
    </format>
    <format dxfId="19">
      <pivotArea outline="0" collapsedLevelsAreSubtotals="1" fieldPosition="0"/>
    </format>
    <format dxfId="18">
      <pivotArea type="origin" dataOnly="0" labelOnly="1" outline="0" fieldPosition="0"/>
    </format>
    <format dxfId="17">
      <pivotArea field="12" type="button" dataOnly="0" labelOnly="1" outline="0" axis="axisCol" fieldPosition="0"/>
    </format>
    <format dxfId="16">
      <pivotArea type="topRight" dataOnly="0" labelOnly="1" outline="0" fieldPosition="0"/>
    </format>
    <format dxfId="15">
      <pivotArea field="7" type="button" dataOnly="0" labelOnly="1" outline="0" axis="axisRow" fieldPosition="0"/>
    </format>
    <format dxfId="14">
      <pivotArea dataOnly="0" labelOnly="1" fieldPosition="0">
        <references count="1">
          <reference field="7" count="0"/>
        </references>
      </pivotArea>
    </format>
    <format dxfId="13">
      <pivotArea dataOnly="0" labelOnly="1" grandRow="1" outline="0" fieldPosition="0"/>
    </format>
    <format dxfId="12">
      <pivotArea dataOnly="0" labelOnly="1" fieldPosition="0">
        <references count="1">
          <reference field="12" count="9">
            <x v="1"/>
            <x v="2"/>
            <x v="6"/>
            <x v="7"/>
            <x v="8"/>
            <x v="9"/>
            <x v="10"/>
            <x v="11"/>
            <x v="12"/>
          </reference>
        </references>
      </pivotArea>
    </format>
    <format dxfId="11">
      <pivotArea dataOnly="0" labelOnly="1" grandCol="1" outline="0" fieldPosition="0"/>
    </format>
  </formats>
  <pivotTableStyleInfo name="PivotStyleLight16"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34A5031-29FE-43B1-94FE-15E1720C94A1}" name="Tableau croisé dynamique3" cacheId="0" applyNumberFormats="0" applyBorderFormats="0" applyFontFormats="0" applyPatternFormats="0" applyAlignmentFormats="0" applyWidthHeightFormats="1" dataCaption="Valeurs" updatedVersion="8" minRefreshableVersion="3" useAutoFormatting="1" rowGrandTotals="0" itemPrintTitles="1" createdVersion="8" indent="0" outline="1" outlineData="1" multipleFieldFilters="0" chartFormat="3">
  <location ref="A3:I33" firstHeaderRow="1" firstDataRow="2" firstDataCol="1" rowPageCount="1" colPageCount="1"/>
  <pivotFields count="13">
    <pivotField numFmtId="14" subtotalTop="0" showAll="0">
      <items count="39">
        <item x="2"/>
        <item x="3"/>
        <item x="4"/>
        <item x="5"/>
        <item x="6"/>
        <item x="7"/>
        <item x="8"/>
        <item x="9"/>
        <item x="12"/>
        <item x="13"/>
        <item x="14"/>
        <item x="15"/>
        <item x="16"/>
        <item x="17"/>
        <item x="18"/>
        <item x="19"/>
        <item x="10"/>
        <item x="11"/>
        <item x="0"/>
        <item x="1"/>
        <item x="20"/>
        <item x="21"/>
        <item x="22"/>
        <item x="23"/>
        <item x="24"/>
        <item x="25"/>
        <item x="26"/>
        <item x="27"/>
        <item x="28"/>
        <item x="29"/>
        <item x="30"/>
        <item x="31"/>
        <item x="32"/>
        <item x="33"/>
        <item x="34"/>
        <item x="35"/>
        <item x="36"/>
        <item x="37"/>
        <item t="default"/>
      </items>
    </pivotField>
    <pivotField axis="axisPage" subtotalTop="0" showAll="0">
      <items count="2">
        <item x="0"/>
        <item t="default"/>
      </items>
    </pivotField>
    <pivotField subtotalTop="0" showAll="0"/>
    <pivotField subtotalTop="0" showAll="0"/>
    <pivotField dataField="1" numFmtId="44" subtotalTop="0" showAll="0"/>
    <pivotField axis="axisRow" subtotalTop="0" showAll="0" sortType="descending">
      <items count="26">
        <item x="21"/>
        <item x="6"/>
        <item x="14"/>
        <item x="1"/>
        <item x="22"/>
        <item x="13"/>
        <item x="16"/>
        <item x="4"/>
        <item x="20"/>
        <item x="15"/>
        <item x="0"/>
        <item x="7"/>
        <item x="19"/>
        <item x="10"/>
        <item x="9"/>
        <item m="1" x="23"/>
        <item x="8"/>
        <item x="11"/>
        <item x="3"/>
        <item x="17"/>
        <item x="18"/>
        <item x="2"/>
        <item x="5"/>
        <item m="1" x="24"/>
        <item x="12"/>
        <item t="default"/>
      </items>
      <autoSortScope>
        <pivotArea dataOnly="0" outline="0" fieldPosition="0">
          <references count="1">
            <reference field="4294967294" count="1" selected="0">
              <x v="0"/>
            </reference>
          </references>
        </pivotArea>
      </autoSortScope>
    </pivotField>
    <pivotField axis="axisRow" subtotalTop="0" showAll="0">
      <items count="7">
        <item m="1" x="3"/>
        <item m="1" x="4"/>
        <item m="1" x="5"/>
        <item x="0"/>
        <item x="1"/>
        <item x="2"/>
        <item t="default"/>
      </items>
    </pivotField>
    <pivotField subtotalTop="0" showAll="0"/>
    <pivotField axis="axisCol" subtotalTop="0" showAll="0">
      <items count="8">
        <item x="1"/>
        <item x="0"/>
        <item x="3"/>
        <item x="4"/>
        <item x="2"/>
        <item x="5"/>
        <item x="6"/>
        <item t="default"/>
      </items>
    </pivotField>
    <pivotField subtotalTop="0" showAll="0"/>
    <pivotField subtotalTop="0" showAll="0"/>
    <pivotField subtotalTop="0" showAll="0"/>
    <pivotField subtotalTop="0" showAll="0">
      <items count="15">
        <item x="0"/>
        <item x="1"/>
        <item x="2"/>
        <item x="3"/>
        <item x="4"/>
        <item x="5"/>
        <item x="6"/>
        <item x="7"/>
        <item x="8"/>
        <item x="9"/>
        <item x="10"/>
        <item x="11"/>
        <item x="12"/>
        <item x="13"/>
        <item t="default"/>
      </items>
    </pivotField>
  </pivotFields>
  <rowFields count="2">
    <field x="6"/>
    <field x="5"/>
  </rowFields>
  <rowItems count="29">
    <i>
      <x v="3"/>
    </i>
    <i r="1">
      <x v="7"/>
    </i>
    <i r="1">
      <x v="8"/>
    </i>
    <i r="1">
      <x v="9"/>
    </i>
    <i r="1">
      <x v="10"/>
    </i>
    <i r="1">
      <x v="5"/>
    </i>
    <i r="1">
      <x v="1"/>
    </i>
    <i r="1">
      <x v="2"/>
    </i>
    <i t="default">
      <x v="3"/>
    </i>
    <i>
      <x v="4"/>
    </i>
    <i r="1">
      <x v="24"/>
    </i>
    <i r="1">
      <x v="3"/>
    </i>
    <i r="1">
      <x v="18"/>
    </i>
    <i r="1">
      <x/>
    </i>
    <i r="1">
      <x v="12"/>
    </i>
    <i t="default">
      <x v="4"/>
    </i>
    <i>
      <x v="5"/>
    </i>
    <i r="1">
      <x v="19"/>
    </i>
    <i r="1">
      <x v="21"/>
    </i>
    <i r="1">
      <x v="22"/>
    </i>
    <i r="1">
      <x v="17"/>
    </i>
    <i r="1">
      <x v="11"/>
    </i>
    <i r="1">
      <x v="14"/>
    </i>
    <i r="1">
      <x v="16"/>
    </i>
    <i r="1">
      <x v="13"/>
    </i>
    <i r="1">
      <x v="4"/>
    </i>
    <i r="1">
      <x v="6"/>
    </i>
    <i r="1">
      <x v="20"/>
    </i>
    <i t="default">
      <x v="5"/>
    </i>
  </rowItems>
  <colFields count="1">
    <field x="8"/>
  </colFields>
  <colItems count="8">
    <i>
      <x/>
    </i>
    <i>
      <x v="1"/>
    </i>
    <i>
      <x v="2"/>
    </i>
    <i>
      <x v="3"/>
    </i>
    <i>
      <x v="4"/>
    </i>
    <i>
      <x v="5"/>
    </i>
    <i>
      <x v="6"/>
    </i>
    <i t="grand">
      <x/>
    </i>
  </colItems>
  <pageFields count="1">
    <pageField fld="1" hier="-1"/>
  </pageFields>
  <dataFields count="1">
    <dataField name="Somme de Montant" fld="4" baseField="0" baseItem="0" numFmtId="44"/>
  </dataFields>
  <formats count="11">
    <format dxfId="10">
      <pivotArea type="all" dataOnly="0" outline="0" fieldPosition="0"/>
    </format>
    <format dxfId="9">
      <pivotArea outline="0" collapsedLevelsAreSubtotals="1" fieldPosition="0"/>
    </format>
    <format dxfId="8">
      <pivotArea type="origin" dataOnly="0" labelOnly="1" outline="0" fieldPosition="0"/>
    </format>
    <format dxfId="7">
      <pivotArea type="topRight" dataOnly="0" labelOnly="1" outline="0" fieldPosition="0"/>
    </format>
    <format dxfId="6">
      <pivotArea field="6" type="button" dataOnly="0" labelOnly="1" outline="0" axis="axisRow" fieldPosition="0"/>
    </format>
    <format dxfId="5">
      <pivotArea dataOnly="0" labelOnly="1" fieldPosition="0">
        <references count="1">
          <reference field="6" count="0"/>
        </references>
      </pivotArea>
    </format>
    <format dxfId="4">
      <pivotArea dataOnly="0" labelOnly="1" grandRow="1" outline="0" fieldPosition="0"/>
    </format>
    <format dxfId="3">
      <pivotArea dataOnly="0" labelOnly="1" fieldPosition="0">
        <references count="2">
          <reference field="5" count="3">
            <x v="1"/>
            <x v="7"/>
            <x v="10"/>
          </reference>
          <reference field="6" count="1" selected="0">
            <x v="0"/>
          </reference>
        </references>
      </pivotArea>
    </format>
    <format dxfId="2">
      <pivotArea dataOnly="0" labelOnly="1" fieldPosition="0">
        <references count="2">
          <reference field="5" count="3">
            <x v="3"/>
            <x v="18"/>
            <x v="24"/>
          </reference>
          <reference field="6" count="1" selected="0">
            <x v="1"/>
          </reference>
        </references>
      </pivotArea>
    </format>
    <format dxfId="1">
      <pivotArea dataOnly="0" labelOnly="1" fieldPosition="0">
        <references count="2">
          <reference field="5" count="7">
            <x v="11"/>
            <x v="13"/>
            <x v="14"/>
            <x v="15"/>
            <x v="17"/>
            <x v="21"/>
            <x v="23"/>
          </reference>
          <reference field="6" count="1" selected="0">
            <x v="2"/>
          </reference>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7D9139D-637A-4CA6-9F3D-4DD2D2471645}" name="Tableau2" displayName="Tableau2" ref="A1:L54" totalsRowShown="0" headerRowDxfId="37" dataDxfId="35" headerRowBorderDxfId="36" tableBorderDxfId="34" totalsRowBorderDxfId="33">
  <autoFilter ref="A1:L54" xr:uid="{37D9139D-637A-4CA6-9F3D-4DD2D2471645}"/>
  <sortState xmlns:xlrd2="http://schemas.microsoft.com/office/spreadsheetml/2017/richdata2" ref="A2:K28">
    <sortCondition ref="A1:A28"/>
  </sortState>
  <tableColumns count="12">
    <tableColumn id="1" xr3:uid="{7A366FC4-3AB9-4994-A312-1711E55523F9}" name="Date" dataDxfId="32"/>
    <tableColumn id="12" xr3:uid="{86CF5771-6BEA-4236-AC07-7C4D5D4FFE20}" name="Année de référence" dataDxfId="31"/>
    <tableColumn id="2" xr3:uid="{6E9B533C-6DFC-422C-B823-24C3F20171F8}" name="Mois" dataDxfId="30">
      <calculatedColumnFormula>TEXT(A2,"mmmm")</calculatedColumnFormula>
    </tableColumn>
    <tableColumn id="3" xr3:uid="{862D56C5-A87B-4B89-B808-7CCF8AF65780}" name="Libellé" dataDxfId="29"/>
    <tableColumn id="4" xr3:uid="{0050B999-4EFB-441D-ABC3-BEA25DE7FFEC}" name="Montant" dataDxfId="28" dataCellStyle="Monétaire"/>
    <tableColumn id="5" xr3:uid="{1DCC4ED5-99B8-44A4-A274-31995456DEB3}" name="Catégorie" dataDxfId="27"/>
    <tableColumn id="10" xr3:uid="{A5C306B6-3607-4108-A016-A22ACDAF97A5}" name="Ressource / dépense" dataDxfId="26">
      <calculatedColumnFormula>_xlfn.XLOOKUP(Tableau2[[#This Row],[Catégorie]],Listes!C:C,Listes!D:D)</calculatedColumnFormula>
    </tableColumn>
    <tableColumn id="6" xr3:uid="{63515D15-F517-462E-9649-1ABF3DA21BD4}" name="Type" dataDxfId="25">
      <calculatedColumnFormula>_xlfn.XLOOKUP(Tableau2[[#This Row],[Ressource / dépense]],Listes!D:D,Listes!E:E)</calculatedColumnFormula>
    </tableColumn>
    <tableColumn id="7" xr3:uid="{0249F77B-EA11-4B99-835E-3DD20E2E895C}" name="Enveloppe" dataDxfId="24"/>
    <tableColumn id="8" xr3:uid="{D8A54C53-66BD-4087-AF78-88B9601D3AC8}" name="Action" dataDxfId="23"/>
    <tableColumn id="9" xr3:uid="{77F2CC7E-DF4B-47CD-894D-89E4E50CFBF1}" name="Evenement" dataDxfId="22"/>
    <tableColumn id="11" xr3:uid="{FCF17DAE-9CE3-46AE-986D-C12CD7127A01}" name="Lien PJ" dataDxfId="2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 dT="2025-12-10T16:15:35.42" personId="{5CC3F65B-CFD4-4C8B-A170-0FC55125EF9E}" id="{927B2F99-21E7-4BA9-9D87-80A7C55EB0E3}">
    <text>Logiciels, opérateurs internet...</text>
  </threadedComment>
  <threadedComment ref="C13" dT="2025-12-10T16:16:41.43" personId="{5CC3F65B-CFD4-4C8B-A170-0FC55125EF9E}" id="{B1B5B4B2-CE3F-4C30-872B-AD61F3547544}">
    <text>Toutes les fournitures ne relevant pas du mobilier et des objets faisant l’objet d’amortissements comptables. (Exemples : stylos, trieurs, paper board…)</text>
  </threadedComment>
  <threadedComment ref="C16" dT="2025-12-10T16:17:14.90" personId="{5CC3F65B-CFD4-4C8B-A170-0FC55125EF9E}" id="{1D2961B8-F775-49E7-A8E3-7B238A3B11E0}">
    <text>Tous les objets durables qui peuvent recevoir un amortissement comptable (bureau, ordinateur, chaises…)</text>
  </threadedComment>
  <threadedComment ref="C20" dT="2025-12-10T16:21:59.93" personId="{5CC3F65B-CFD4-4C8B-A170-0FC55125EF9E}" id="{19133D1E-5B48-47A1-B547-41D48B1C8057}">
    <text>Ce sont les fonds de l’année précédente qui n’ont pas été utilisés et reportés dans les mêmes enveloppes l’année suivante. Si vous avez plusieurs enveloppes positives en fin d’année, il sera nécessaire de reporter ces fonds sur les mêmes enveloppes l’année suivante. Pour ce faire, dans le registre des dépenses, indiquez le montant et associer l’enveloppe où le fond doit être reporté.</text>
  </threadedComment>
</ThreadedComments>
</file>

<file path=xl/threadedComments/threadedComment2.xml><?xml version="1.0" encoding="utf-8"?>
<ThreadedComments xmlns="http://schemas.microsoft.com/office/spreadsheetml/2018/threadedcomments" xmlns:x="http://schemas.openxmlformats.org/spreadsheetml/2006/main">
  <threadedComment ref="G2" dT="2025-12-10T15:13:26.27" personId="{5CC3F65B-CFD4-4C8B-A170-0FC55125EF9E}" id="{EE6D1E89-9E08-4D84-879C-41E39DBDB361}">
    <text>Ou 12500 si vous êtes après la première année.</text>
  </threadedComment>
</ThreadedComments>
</file>

<file path=xl/threadedComments/threadedComment3.xml><?xml version="1.0" encoding="utf-8"?>
<ThreadedComments xmlns="http://schemas.microsoft.com/office/spreadsheetml/2018/threadedcomments" xmlns:x="http://schemas.openxmlformats.org/spreadsheetml/2006/main">
  <threadedComment ref="G2" dT="2025-12-10T15:12:59.22" personId="{5CC3F65B-CFD4-4C8B-A170-0FC55125EF9E}" id="{7538CFE1-C77B-45C0-942E-F1A3C7ABDD72}">
    <text>Ou 17500€ si vous êtes après la première année.</text>
  </threadedComment>
</ThreadedComments>
</file>

<file path=xl/threadedComments/threadedComment4.xml><?xml version="1.0" encoding="utf-8"?>
<ThreadedComments xmlns="http://schemas.microsoft.com/office/spreadsheetml/2018/threadedcomments" xmlns:x="http://schemas.openxmlformats.org/spreadsheetml/2006/main">
  <threadedComment ref="G2" dT="2025-12-10T15:19:20.64" personId="{5CC3F65B-CFD4-4C8B-A170-0FC55125EF9E}" id="{13BC4EEA-771E-4FAA-8E19-05F8BC7BA909}">
    <text>Ou 22500€ si vous êtes après la première année.</text>
  </threadedComment>
</ThreadedComments>
</file>

<file path=xl/threadedComments/threadedComment5.xml><?xml version="1.0" encoding="utf-8"?>
<ThreadedComments xmlns="http://schemas.microsoft.com/office/spreadsheetml/2018/threadedcomments" xmlns:x="http://schemas.openxmlformats.org/spreadsheetml/2006/main">
  <threadedComment ref="G2" dT="2025-12-10T15:19:20.64" personId="{5CC3F65B-CFD4-4C8B-A170-0FC55125EF9E}" id="{EBB58099-E102-4583-BB75-71F89B39B2FB}">
    <text>Ou 25000€ si vous êtes après la première année.</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EB8E0-6170-450F-A03D-AF13A0B2F16E}">
  <dimension ref="A1"/>
  <sheetViews>
    <sheetView showGridLines="0" tabSelected="1" zoomScale="80" zoomScaleNormal="80" workbookViewId="0">
      <selection activeCell="R22" sqref="R22"/>
    </sheetView>
  </sheetViews>
  <sheetFormatPr baseColWidth="10" defaultRowHeight="14.5" x14ac:dyDescent="0.3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66BAB-493F-469D-BF02-BBEA39ADF930}">
  <dimension ref="A1:J30"/>
  <sheetViews>
    <sheetView workbookViewId="0">
      <selection activeCell="C11" sqref="C11"/>
    </sheetView>
  </sheetViews>
  <sheetFormatPr baseColWidth="10" defaultRowHeight="14.5" x14ac:dyDescent="0.35"/>
  <cols>
    <col min="2" max="2" width="30.453125" customWidth="1"/>
    <col min="3" max="10" width="13.6328125" customWidth="1"/>
    <col min="11" max="11" width="12.6328125" customWidth="1"/>
  </cols>
  <sheetData>
    <row r="1" spans="1:10" x14ac:dyDescent="0.35">
      <c r="B1" s="32" t="s">
        <v>103</v>
      </c>
      <c r="C1" s="32" t="s">
        <v>0</v>
      </c>
      <c r="D1" s="32" t="s">
        <v>1</v>
      </c>
      <c r="E1" s="32" t="s">
        <v>2</v>
      </c>
      <c r="F1" s="32" t="s">
        <v>3</v>
      </c>
      <c r="G1" s="32" t="s">
        <v>4</v>
      </c>
      <c r="H1" s="32" t="s">
        <v>5</v>
      </c>
      <c r="I1" s="32" t="s">
        <v>6</v>
      </c>
      <c r="J1" s="32" t="s">
        <v>50</v>
      </c>
    </row>
    <row r="2" spans="1:10" x14ac:dyDescent="0.35">
      <c r="A2" s="34" t="s">
        <v>10</v>
      </c>
      <c r="B2" s="23" t="s">
        <v>7</v>
      </c>
      <c r="C2" s="20">
        <v>90000</v>
      </c>
      <c r="D2" s="20">
        <v>110000</v>
      </c>
      <c r="E2" s="20">
        <v>50000</v>
      </c>
      <c r="F2" s="20">
        <v>20000</v>
      </c>
      <c r="G2" s="20">
        <v>50000</v>
      </c>
      <c r="H2" s="20">
        <v>20000</v>
      </c>
      <c r="I2" s="20">
        <v>15000</v>
      </c>
      <c r="J2" s="20">
        <f>SUM(C2:I2)</f>
        <v>355000</v>
      </c>
    </row>
    <row r="3" spans="1:10" x14ac:dyDescent="0.35">
      <c r="A3" s="34"/>
      <c r="B3" s="23" t="s">
        <v>8</v>
      </c>
      <c r="C3" s="20"/>
      <c r="D3" s="20"/>
      <c r="E3" s="20"/>
      <c r="F3" s="20"/>
      <c r="G3" s="20"/>
      <c r="H3" s="20"/>
      <c r="I3" s="20"/>
      <c r="J3" s="20">
        <f t="shared" ref="J3:J8" si="0">SUM(C3:I3)</f>
        <v>0</v>
      </c>
    </row>
    <row r="4" spans="1:10" x14ac:dyDescent="0.35">
      <c r="A4" s="34"/>
      <c r="B4" s="23" t="s">
        <v>11</v>
      </c>
      <c r="C4" s="20"/>
      <c r="D4" s="20"/>
      <c r="E4" s="20"/>
      <c r="F4" s="20"/>
      <c r="G4" s="20"/>
      <c r="H4" s="20"/>
      <c r="I4" s="20"/>
      <c r="J4" s="20">
        <f t="shared" si="0"/>
        <v>0</v>
      </c>
    </row>
    <row r="5" spans="1:10" x14ac:dyDescent="0.35">
      <c r="A5" s="34"/>
      <c r="B5" s="23" t="s">
        <v>9</v>
      </c>
      <c r="C5" s="20"/>
      <c r="D5" s="20"/>
      <c r="E5" s="20"/>
      <c r="F5" s="20"/>
      <c r="G5" s="20"/>
      <c r="H5" s="20"/>
      <c r="I5" s="20"/>
      <c r="J5" s="20">
        <f t="shared" si="0"/>
        <v>0</v>
      </c>
    </row>
    <row r="6" spans="1:10" x14ac:dyDescent="0.35">
      <c r="A6" s="34"/>
      <c r="B6" s="23" t="s">
        <v>77</v>
      </c>
      <c r="C6" s="20"/>
      <c r="D6" s="20"/>
      <c r="E6" s="20"/>
      <c r="F6" s="20"/>
      <c r="G6" s="20"/>
      <c r="H6" s="20"/>
      <c r="I6" s="20"/>
      <c r="J6" s="20">
        <f t="shared" si="0"/>
        <v>0</v>
      </c>
    </row>
    <row r="7" spans="1:10" x14ac:dyDescent="0.35">
      <c r="A7" s="34"/>
      <c r="B7" s="23" t="s">
        <v>12</v>
      </c>
      <c r="C7" s="20"/>
      <c r="D7" s="20"/>
      <c r="E7" s="20"/>
      <c r="F7" s="20"/>
      <c r="G7" s="20"/>
      <c r="H7" s="20"/>
      <c r="I7" s="20"/>
      <c r="J7" s="20">
        <f t="shared" si="0"/>
        <v>0</v>
      </c>
    </row>
    <row r="8" spans="1:10" x14ac:dyDescent="0.35">
      <c r="A8" s="34"/>
      <c r="B8" s="23" t="s">
        <v>76</v>
      </c>
      <c r="C8" s="20"/>
      <c r="D8" s="20"/>
      <c r="E8" s="20"/>
      <c r="F8" s="20"/>
      <c r="G8" s="20"/>
      <c r="H8" s="20"/>
      <c r="I8" s="20"/>
      <c r="J8" s="20">
        <f t="shared" si="0"/>
        <v>0</v>
      </c>
    </row>
    <row r="9" spans="1:10" x14ac:dyDescent="0.35">
      <c r="A9" s="34"/>
      <c r="B9" s="31" t="s">
        <v>83</v>
      </c>
      <c r="C9" s="3">
        <f>SUM(C2:C8)</f>
        <v>90000</v>
      </c>
      <c r="D9" s="3">
        <f t="shared" ref="D9:I9" si="1">SUM(D2:D8)</f>
        <v>110000</v>
      </c>
      <c r="E9" s="3">
        <f t="shared" si="1"/>
        <v>50000</v>
      </c>
      <c r="F9" s="3">
        <f t="shared" si="1"/>
        <v>20000</v>
      </c>
      <c r="G9" s="3">
        <f t="shared" si="1"/>
        <v>50000</v>
      </c>
      <c r="H9" s="3">
        <f t="shared" si="1"/>
        <v>20000</v>
      </c>
      <c r="I9" s="3">
        <f t="shared" si="1"/>
        <v>15000</v>
      </c>
      <c r="J9" s="3">
        <f>SUM(J2:J8)</f>
        <v>355000</v>
      </c>
    </row>
    <row r="10" spans="1:10" ht="14.5" customHeight="1" x14ac:dyDescent="0.35">
      <c r="A10" s="34" t="s">
        <v>16</v>
      </c>
      <c r="B10" s="23" t="s">
        <v>13</v>
      </c>
      <c r="C10" s="20"/>
      <c r="D10" s="20"/>
      <c r="E10" s="20"/>
      <c r="F10" s="20"/>
      <c r="G10" s="20"/>
      <c r="H10" s="20"/>
      <c r="I10" s="20"/>
      <c r="J10" s="20">
        <f>SUM(C10:I10)</f>
        <v>0</v>
      </c>
    </row>
    <row r="11" spans="1:10" x14ac:dyDescent="0.35">
      <c r="A11" s="34"/>
      <c r="B11" s="23" t="s">
        <v>15</v>
      </c>
      <c r="C11" s="20"/>
      <c r="D11" s="20"/>
      <c r="E11" s="20"/>
      <c r="F11" s="20"/>
      <c r="G11" s="20"/>
      <c r="H11" s="20"/>
      <c r="I11" s="20"/>
      <c r="J11" s="20">
        <f t="shared" ref="J11:J14" si="2">SUM(C11:I11)</f>
        <v>0</v>
      </c>
    </row>
    <row r="12" spans="1:10" x14ac:dyDescent="0.35">
      <c r="A12" s="34"/>
      <c r="B12" s="23" t="s">
        <v>14</v>
      </c>
      <c r="C12" s="20"/>
      <c r="D12" s="20"/>
      <c r="E12" s="20"/>
      <c r="F12" s="20"/>
      <c r="G12" s="20"/>
      <c r="H12" s="20"/>
      <c r="I12" s="20"/>
      <c r="J12" s="20">
        <f t="shared" si="2"/>
        <v>0</v>
      </c>
    </row>
    <row r="13" spans="1:10" x14ac:dyDescent="0.35">
      <c r="A13" s="34"/>
      <c r="B13" s="23" t="s">
        <v>73</v>
      </c>
      <c r="C13" s="20"/>
      <c r="D13" s="20"/>
      <c r="E13" s="20"/>
      <c r="F13" s="20"/>
      <c r="G13" s="20"/>
      <c r="H13" s="20"/>
      <c r="I13" s="20"/>
      <c r="J13" s="20">
        <f t="shared" si="2"/>
        <v>0</v>
      </c>
    </row>
    <row r="14" spans="1:10" x14ac:dyDescent="0.35">
      <c r="A14" s="34"/>
      <c r="B14" s="23" t="s">
        <v>72</v>
      </c>
      <c r="C14" s="20"/>
      <c r="D14" s="20"/>
      <c r="E14" s="20"/>
      <c r="F14" s="20"/>
      <c r="G14" s="20"/>
      <c r="H14" s="20"/>
      <c r="I14" s="20"/>
      <c r="J14" s="20">
        <f t="shared" si="2"/>
        <v>0</v>
      </c>
    </row>
    <row r="15" spans="1:10" x14ac:dyDescent="0.35">
      <c r="A15" s="34"/>
      <c r="B15" s="31" t="s">
        <v>84</v>
      </c>
      <c r="C15" s="20">
        <f>SUM(C10:C14)</f>
        <v>0</v>
      </c>
      <c r="D15" s="20">
        <f t="shared" ref="D15:I15" si="3">SUM(D10:D14)</f>
        <v>0</v>
      </c>
      <c r="E15" s="20">
        <f t="shared" si="3"/>
        <v>0</v>
      </c>
      <c r="F15" s="20">
        <f t="shared" si="3"/>
        <v>0</v>
      </c>
      <c r="G15" s="20">
        <f t="shared" si="3"/>
        <v>0</v>
      </c>
      <c r="H15" s="20">
        <f t="shared" si="3"/>
        <v>0</v>
      </c>
      <c r="I15" s="20">
        <f t="shared" si="3"/>
        <v>0</v>
      </c>
      <c r="J15" s="20">
        <f>SUM(J10:J14)</f>
        <v>0</v>
      </c>
    </row>
    <row r="16" spans="1:10" x14ac:dyDescent="0.35">
      <c r="A16" s="34" t="s">
        <v>17</v>
      </c>
      <c r="B16" s="23" t="s">
        <v>75</v>
      </c>
      <c r="C16" s="20"/>
      <c r="D16" s="20"/>
      <c r="E16" s="20"/>
      <c r="F16" s="20"/>
      <c r="G16" s="20"/>
      <c r="H16" s="20"/>
      <c r="I16" s="20"/>
      <c r="J16" s="20">
        <f>SUM(C16:I16)</f>
        <v>0</v>
      </c>
    </row>
    <row r="17" spans="1:10" x14ac:dyDescent="0.35">
      <c r="A17" s="34"/>
      <c r="B17" s="23" t="s">
        <v>79</v>
      </c>
      <c r="C17" s="20"/>
      <c r="D17" s="20"/>
      <c r="E17" s="20"/>
      <c r="F17" s="20"/>
      <c r="G17" s="20"/>
      <c r="H17" s="20"/>
      <c r="I17" s="20"/>
      <c r="J17" s="20">
        <f t="shared" ref="J17:J26" si="4">SUM(C17:I17)</f>
        <v>0</v>
      </c>
    </row>
    <row r="18" spans="1:10" x14ac:dyDescent="0.35">
      <c r="A18" s="34"/>
      <c r="B18" s="23" t="s">
        <v>66</v>
      </c>
      <c r="C18" s="20"/>
      <c r="D18" s="20"/>
      <c r="E18" s="20"/>
      <c r="F18" s="20"/>
      <c r="G18" s="20"/>
      <c r="H18" s="20"/>
      <c r="I18" s="20"/>
      <c r="J18" s="20">
        <f t="shared" si="4"/>
        <v>0</v>
      </c>
    </row>
    <row r="19" spans="1:10" x14ac:dyDescent="0.35">
      <c r="A19" s="34"/>
      <c r="B19" s="23" t="s">
        <v>21</v>
      </c>
      <c r="C19" s="20"/>
      <c r="D19" s="20"/>
      <c r="E19" s="20"/>
      <c r="F19" s="20"/>
      <c r="G19" s="20"/>
      <c r="H19" s="20"/>
      <c r="I19" s="20"/>
      <c r="J19" s="20">
        <f t="shared" si="4"/>
        <v>0</v>
      </c>
    </row>
    <row r="20" spans="1:10" x14ac:dyDescent="0.35">
      <c r="A20" s="34"/>
      <c r="B20" s="23" t="s">
        <v>39</v>
      </c>
      <c r="C20" s="20"/>
      <c r="D20" s="20"/>
      <c r="E20" s="20"/>
      <c r="F20" s="20"/>
      <c r="G20" s="20"/>
      <c r="H20" s="20"/>
      <c r="I20" s="20"/>
      <c r="J20" s="20">
        <f t="shared" si="4"/>
        <v>0</v>
      </c>
    </row>
    <row r="21" spans="1:10" x14ac:dyDescent="0.35">
      <c r="A21" s="34"/>
      <c r="B21" s="23" t="s">
        <v>20</v>
      </c>
      <c r="C21" s="20"/>
      <c r="D21" s="20"/>
      <c r="E21" s="20"/>
      <c r="F21" s="20"/>
      <c r="G21" s="20"/>
      <c r="H21" s="20"/>
      <c r="I21" s="20"/>
      <c r="J21" s="20">
        <f t="shared" si="4"/>
        <v>0</v>
      </c>
    </row>
    <row r="22" spans="1:10" x14ac:dyDescent="0.35">
      <c r="A22" s="34"/>
      <c r="B22" s="23" t="s">
        <v>19</v>
      </c>
      <c r="C22" s="20"/>
      <c r="D22" s="20"/>
      <c r="E22" s="20"/>
      <c r="F22" s="20"/>
      <c r="G22" s="20"/>
      <c r="H22" s="20"/>
      <c r="I22" s="20"/>
      <c r="J22" s="20">
        <f t="shared" si="4"/>
        <v>0</v>
      </c>
    </row>
    <row r="23" spans="1:10" x14ac:dyDescent="0.35">
      <c r="A23" s="34"/>
      <c r="B23" s="23" t="s">
        <v>67</v>
      </c>
      <c r="C23" s="20"/>
      <c r="D23" s="20"/>
      <c r="E23" s="20"/>
      <c r="F23" s="20"/>
      <c r="G23" s="20"/>
      <c r="H23" s="20"/>
      <c r="I23" s="20"/>
      <c r="J23" s="20">
        <f t="shared" si="4"/>
        <v>0</v>
      </c>
    </row>
    <row r="24" spans="1:10" x14ac:dyDescent="0.35">
      <c r="A24" s="34"/>
      <c r="B24" s="23" t="s">
        <v>78</v>
      </c>
      <c r="C24" s="20"/>
      <c r="D24" s="20"/>
      <c r="E24" s="20"/>
      <c r="F24" s="20"/>
      <c r="G24" s="20"/>
      <c r="H24" s="20"/>
      <c r="I24" s="20"/>
      <c r="J24" s="20">
        <f t="shared" si="4"/>
        <v>0</v>
      </c>
    </row>
    <row r="25" spans="1:10" x14ac:dyDescent="0.35">
      <c r="A25" s="34"/>
      <c r="B25" s="23" t="s">
        <v>18</v>
      </c>
      <c r="C25" s="20"/>
      <c r="D25" s="20"/>
      <c r="E25" s="20"/>
      <c r="F25" s="20"/>
      <c r="G25" s="20"/>
      <c r="H25" s="20"/>
      <c r="I25" s="20"/>
      <c r="J25" s="20">
        <f t="shared" si="4"/>
        <v>0</v>
      </c>
    </row>
    <row r="26" spans="1:10" x14ac:dyDescent="0.35">
      <c r="A26" s="34"/>
      <c r="B26" s="23" t="s">
        <v>74</v>
      </c>
      <c r="C26" s="20"/>
      <c r="D26" s="20"/>
      <c r="E26" s="20"/>
      <c r="F26" s="20"/>
      <c r="G26" s="20"/>
      <c r="H26" s="20"/>
      <c r="I26" s="20"/>
      <c r="J26" s="20">
        <f t="shared" si="4"/>
        <v>0</v>
      </c>
    </row>
    <row r="27" spans="1:10" x14ac:dyDescent="0.35">
      <c r="A27" s="34"/>
      <c r="B27" s="31" t="s">
        <v>85</v>
      </c>
      <c r="C27" s="20">
        <f>SUM(C16:C26)</f>
        <v>0</v>
      </c>
      <c r="D27" s="20">
        <f t="shared" ref="D27:J27" si="5">SUM(D16:D26)</f>
        <v>0</v>
      </c>
      <c r="E27" s="20">
        <f t="shared" si="5"/>
        <v>0</v>
      </c>
      <c r="F27" s="20">
        <f t="shared" si="5"/>
        <v>0</v>
      </c>
      <c r="G27" s="20">
        <f t="shared" si="5"/>
        <v>0</v>
      </c>
      <c r="H27" s="20">
        <f t="shared" si="5"/>
        <v>0</v>
      </c>
      <c r="I27" s="20">
        <f t="shared" si="5"/>
        <v>0</v>
      </c>
      <c r="J27" s="20">
        <f t="shared" si="5"/>
        <v>0</v>
      </c>
    </row>
    <row r="29" spans="1:10" x14ac:dyDescent="0.35">
      <c r="B29" s="28" t="s">
        <v>98</v>
      </c>
      <c r="C29" s="2">
        <f t="shared" ref="C29:J29" si="6">C15+C27</f>
        <v>0</v>
      </c>
      <c r="D29" s="2">
        <f t="shared" si="6"/>
        <v>0</v>
      </c>
      <c r="E29" s="2">
        <f t="shared" si="6"/>
        <v>0</v>
      </c>
      <c r="F29" s="2">
        <f t="shared" si="6"/>
        <v>0</v>
      </c>
      <c r="G29" s="2">
        <f t="shared" si="6"/>
        <v>0</v>
      </c>
      <c r="H29" s="2">
        <f t="shared" si="6"/>
        <v>0</v>
      </c>
      <c r="I29" s="2">
        <f t="shared" si="6"/>
        <v>0</v>
      </c>
      <c r="J29" s="2">
        <f t="shared" si="6"/>
        <v>0</v>
      </c>
    </row>
    <row r="30" spans="1:10" x14ac:dyDescent="0.35">
      <c r="B30" s="28" t="s">
        <v>99</v>
      </c>
      <c r="C30" s="2">
        <f t="shared" ref="C30:J30" si="7">C9-C29</f>
        <v>90000</v>
      </c>
      <c r="D30" s="2">
        <f t="shared" si="7"/>
        <v>110000</v>
      </c>
      <c r="E30" s="2">
        <f t="shared" si="7"/>
        <v>50000</v>
      </c>
      <c r="F30" s="2">
        <f t="shared" si="7"/>
        <v>20000</v>
      </c>
      <c r="G30" s="2">
        <f t="shared" si="7"/>
        <v>50000</v>
      </c>
      <c r="H30" s="2">
        <f t="shared" si="7"/>
        <v>20000</v>
      </c>
      <c r="I30" s="2">
        <f t="shared" si="7"/>
        <v>15000</v>
      </c>
      <c r="J30" s="2">
        <f t="shared" si="7"/>
        <v>355000</v>
      </c>
    </row>
  </sheetData>
  <mergeCells count="3">
    <mergeCell ref="A2:A9"/>
    <mergeCell ref="A10:A15"/>
    <mergeCell ref="A16:A27"/>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BCD4F-7FDA-4EC2-B63C-39F2FA3B95D0}">
  <dimension ref="A1"/>
  <sheetViews>
    <sheetView showGridLines="0" topLeftCell="A97" zoomScale="70" zoomScaleNormal="70" workbookViewId="0">
      <selection activeCell="P2" sqref="P2"/>
    </sheetView>
  </sheetViews>
  <sheetFormatPr baseColWidth="10" defaultRowHeight="14.5" x14ac:dyDescent="0.3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FF4A6-05D1-4458-81C0-629A6870F0E8}">
  <dimension ref="A1:L54"/>
  <sheetViews>
    <sheetView topLeftCell="D1" zoomScale="80" zoomScaleNormal="80" workbookViewId="0">
      <selection activeCell="G2" sqref="G2"/>
    </sheetView>
  </sheetViews>
  <sheetFormatPr baseColWidth="10" defaultRowHeight="14.5" x14ac:dyDescent="0.35"/>
  <cols>
    <col min="1" max="1" width="15.36328125" customWidth="1"/>
    <col min="2" max="4" width="20.6328125" style="9" customWidth="1"/>
    <col min="5" max="5" width="22.6328125" style="9" customWidth="1"/>
    <col min="6" max="6" width="20.6328125" style="8" customWidth="1"/>
    <col min="7" max="8" width="29.1796875" style="9" customWidth="1"/>
    <col min="9" max="9" width="26.08984375" style="9" customWidth="1"/>
    <col min="10" max="12" width="20.6328125" style="9" customWidth="1"/>
  </cols>
  <sheetData>
    <row r="1" spans="1:12" x14ac:dyDescent="0.35">
      <c r="A1" s="12" t="s">
        <v>22</v>
      </c>
      <c r="B1" s="12" t="s">
        <v>100</v>
      </c>
      <c r="C1" s="13" t="s">
        <v>48</v>
      </c>
      <c r="D1" s="13" t="s">
        <v>23</v>
      </c>
      <c r="E1" s="13" t="s">
        <v>24</v>
      </c>
      <c r="F1" s="13" t="s">
        <v>42</v>
      </c>
      <c r="G1" s="13" t="s">
        <v>80</v>
      </c>
      <c r="H1" s="13" t="s">
        <v>38</v>
      </c>
      <c r="I1" s="13" t="s">
        <v>105</v>
      </c>
      <c r="J1" s="13" t="s">
        <v>25</v>
      </c>
      <c r="K1" s="14" t="s">
        <v>26</v>
      </c>
      <c r="L1" s="13" t="s">
        <v>108</v>
      </c>
    </row>
    <row r="2" spans="1:12" x14ac:dyDescent="0.35">
      <c r="A2" s="10">
        <v>45658</v>
      </c>
      <c r="B2" s="33">
        <v>2025</v>
      </c>
      <c r="C2" s="5" t="str">
        <f t="shared" ref="C2:C40" si="0">TEXT(A2,"mmmm")</f>
        <v>janvier</v>
      </c>
      <c r="D2" s="4" t="s">
        <v>65</v>
      </c>
      <c r="E2" s="6">
        <v>4000</v>
      </c>
      <c r="F2" s="4" t="s">
        <v>9</v>
      </c>
      <c r="G2" s="4" t="str">
        <f>_xlfn.XLOOKUP(Tableau2[[#This Row],[Catégorie]],Listes!C:C,Listes!D:D)</f>
        <v>Ressources</v>
      </c>
      <c r="H2" s="13" t="str">
        <f>_xlfn.XLOOKUP(Tableau2[[#This Row],[Ressource / dépense]],Listes!D:D,Listes!E:E)</f>
        <v>Encaissement</v>
      </c>
      <c r="I2" s="4" t="s">
        <v>1</v>
      </c>
      <c r="J2" s="4"/>
      <c r="K2" s="11"/>
      <c r="L2" s="4"/>
    </row>
    <row r="3" spans="1:12" x14ac:dyDescent="0.35">
      <c r="A3" s="10">
        <v>45659</v>
      </c>
      <c r="B3" s="33">
        <v>2025</v>
      </c>
      <c r="C3" s="5" t="str">
        <f t="shared" si="0"/>
        <v>janvier</v>
      </c>
      <c r="D3" s="4" t="s">
        <v>15</v>
      </c>
      <c r="E3" s="6">
        <v>500</v>
      </c>
      <c r="F3" s="4" t="s">
        <v>15</v>
      </c>
      <c r="G3" s="4" t="str">
        <f>_xlfn.XLOOKUP(Tableau2[[#This Row],[Catégorie]],Listes!C:C,Listes!D:D)</f>
        <v>Charges fixes</v>
      </c>
      <c r="H3" s="4" t="str">
        <f>_xlfn.XLOOKUP(Tableau2[[#This Row],[Ressource / dépense]],Listes!D:D,Listes!E:E)</f>
        <v>Décaissement</v>
      </c>
      <c r="I3" s="4" t="s">
        <v>0</v>
      </c>
      <c r="J3" s="4"/>
      <c r="K3" s="11"/>
      <c r="L3" s="4"/>
    </row>
    <row r="4" spans="1:12" x14ac:dyDescent="0.35">
      <c r="A4" s="10">
        <v>45659</v>
      </c>
      <c r="B4" s="33">
        <v>2025</v>
      </c>
      <c r="C4" s="5" t="str">
        <f t="shared" si="0"/>
        <v>janvier</v>
      </c>
      <c r="D4" s="4" t="s">
        <v>81</v>
      </c>
      <c r="E4" s="6">
        <v>3000</v>
      </c>
      <c r="F4" s="4" t="s">
        <v>79</v>
      </c>
      <c r="G4" s="4" t="str">
        <f>_xlfn.XLOOKUP(Tableau2[[#This Row],[Catégorie]],Listes!C:C,Listes!D:D)</f>
        <v>Charges variables</v>
      </c>
      <c r="H4" s="4" t="str">
        <f>_xlfn.XLOOKUP(Tableau2[[#This Row],[Ressource / dépense]],Listes!D:D,Listes!E:E)</f>
        <v>Décaissement</v>
      </c>
      <c r="I4" s="4" t="s">
        <v>4</v>
      </c>
      <c r="J4" s="4"/>
      <c r="K4" s="11"/>
      <c r="L4" s="4"/>
    </row>
    <row r="5" spans="1:12" x14ac:dyDescent="0.35">
      <c r="A5" s="10">
        <v>45660</v>
      </c>
      <c r="B5" s="33">
        <v>2025</v>
      </c>
      <c r="C5" s="5" t="str">
        <f t="shared" si="0"/>
        <v>janvier</v>
      </c>
      <c r="D5" s="4" t="s">
        <v>15</v>
      </c>
      <c r="E5" s="6">
        <v>500</v>
      </c>
      <c r="F5" s="4" t="s">
        <v>15</v>
      </c>
      <c r="G5" s="4" t="str">
        <f>_xlfn.XLOOKUP(Tableau2[[#This Row],[Catégorie]],Listes!C:C,Listes!D:D)</f>
        <v>Charges fixes</v>
      </c>
      <c r="H5" s="4" t="str">
        <f>_xlfn.XLOOKUP(Tableau2[[#This Row],[Ressource / dépense]],Listes!D:D,Listes!E:E)</f>
        <v>Décaissement</v>
      </c>
      <c r="I5" s="4" t="s">
        <v>0</v>
      </c>
      <c r="J5" s="4"/>
      <c r="K5" s="11"/>
      <c r="L5" s="4"/>
    </row>
    <row r="6" spans="1:12" x14ac:dyDescent="0.35">
      <c r="A6" s="10">
        <v>45662</v>
      </c>
      <c r="B6" s="33">
        <v>2025</v>
      </c>
      <c r="C6" s="5" t="str">
        <f t="shared" si="0"/>
        <v>janvier</v>
      </c>
      <c r="D6" s="4" t="s">
        <v>14</v>
      </c>
      <c r="E6" s="6">
        <v>700</v>
      </c>
      <c r="F6" s="4" t="s">
        <v>14</v>
      </c>
      <c r="G6" s="4" t="str">
        <f>_xlfn.XLOOKUP(Tableau2[[#This Row],[Catégorie]],Listes!C:C,Listes!D:D)</f>
        <v>Charges fixes</v>
      </c>
      <c r="H6" s="4" t="str">
        <f>_xlfn.XLOOKUP(Tableau2[[#This Row],[Ressource / dépense]],Listes!D:D,Listes!E:E)</f>
        <v>Décaissement</v>
      </c>
      <c r="I6" s="4" t="s">
        <v>0</v>
      </c>
      <c r="J6" s="4"/>
      <c r="K6" s="11"/>
      <c r="L6" s="4"/>
    </row>
    <row r="7" spans="1:12" x14ac:dyDescent="0.35">
      <c r="A7" s="10">
        <v>45672</v>
      </c>
      <c r="B7" s="33">
        <v>2025</v>
      </c>
      <c r="C7" s="5" t="str">
        <f t="shared" si="0"/>
        <v>janvier</v>
      </c>
      <c r="D7" s="4" t="s">
        <v>43</v>
      </c>
      <c r="E7" s="7">
        <v>50000</v>
      </c>
      <c r="F7" s="4" t="s">
        <v>7</v>
      </c>
      <c r="G7" s="4" t="str">
        <f>_xlfn.XLOOKUP(Tableau2[[#This Row],[Catégorie]],Listes!C:C,Listes!D:D)</f>
        <v>Ressources</v>
      </c>
      <c r="H7" s="4" t="str">
        <f>_xlfn.XLOOKUP(Tableau2[[#This Row],[Ressource / dépense]],Listes!D:D,Listes!E:E)</f>
        <v>Encaissement</v>
      </c>
      <c r="I7" s="4" t="s">
        <v>0</v>
      </c>
      <c r="J7" s="4"/>
      <c r="K7" s="11"/>
      <c r="L7" s="4"/>
    </row>
    <row r="8" spans="1:12" x14ac:dyDescent="0.35">
      <c r="A8" s="10">
        <v>45672</v>
      </c>
      <c r="B8" s="33">
        <v>2025</v>
      </c>
      <c r="C8" s="5" t="str">
        <f t="shared" si="0"/>
        <v>janvier</v>
      </c>
      <c r="D8" s="4" t="s">
        <v>36</v>
      </c>
      <c r="E8" s="6">
        <v>500</v>
      </c>
      <c r="F8" s="4" t="s">
        <v>66</v>
      </c>
      <c r="G8" s="4" t="str">
        <f>_xlfn.XLOOKUP(Tableau2[[#This Row],[Catégorie]],Listes!C:C,Listes!D:D)</f>
        <v>Charges variables</v>
      </c>
      <c r="H8" s="4" t="str">
        <f>_xlfn.XLOOKUP(Tableau2[[#This Row],[Ressource / dépense]],Listes!D:D,Listes!E:E)</f>
        <v>Décaissement</v>
      </c>
      <c r="I8" s="4" t="s">
        <v>1</v>
      </c>
      <c r="J8" s="4"/>
      <c r="K8" s="11"/>
      <c r="L8" s="4"/>
    </row>
    <row r="9" spans="1:12" x14ac:dyDescent="0.35">
      <c r="A9" s="10">
        <v>45673</v>
      </c>
      <c r="B9" s="33">
        <v>2025</v>
      </c>
      <c r="C9" s="5" t="str">
        <f t="shared" si="0"/>
        <v>janvier</v>
      </c>
      <c r="D9" s="4" t="s">
        <v>43</v>
      </c>
      <c r="E9" s="7">
        <v>55000</v>
      </c>
      <c r="F9" s="4" t="s">
        <v>7</v>
      </c>
      <c r="G9" s="4" t="str">
        <f>_xlfn.XLOOKUP(Tableau2[[#This Row],[Catégorie]],Listes!C:C,Listes!D:D)</f>
        <v>Ressources</v>
      </c>
      <c r="H9" s="4" t="str">
        <f>_xlfn.XLOOKUP(Tableau2[[#This Row],[Ressource / dépense]],Listes!D:D,Listes!E:E)</f>
        <v>Encaissement</v>
      </c>
      <c r="I9" s="4" t="s">
        <v>1</v>
      </c>
      <c r="J9" s="4"/>
      <c r="K9" s="11"/>
      <c r="L9" s="4"/>
    </row>
    <row r="10" spans="1:12" x14ac:dyDescent="0.35">
      <c r="A10" s="10">
        <v>45673</v>
      </c>
      <c r="B10" s="33">
        <v>2025</v>
      </c>
      <c r="C10" s="5" t="str">
        <f t="shared" si="0"/>
        <v>janvier</v>
      </c>
      <c r="D10" s="4" t="s">
        <v>43</v>
      </c>
      <c r="E10" s="7">
        <v>25000</v>
      </c>
      <c r="F10" s="4" t="s">
        <v>7</v>
      </c>
      <c r="G10" s="4" t="str">
        <f>_xlfn.XLOOKUP(Tableau2[[#This Row],[Catégorie]],Listes!C:C,Listes!D:D)</f>
        <v>Ressources</v>
      </c>
      <c r="H10" s="4" t="str">
        <f>_xlfn.XLOOKUP(Tableau2[[#This Row],[Ressource / dépense]],Listes!D:D,Listes!E:E)</f>
        <v>Encaissement</v>
      </c>
      <c r="I10" s="4" t="s">
        <v>2</v>
      </c>
      <c r="J10" s="4"/>
      <c r="K10" s="11"/>
      <c r="L10" s="4"/>
    </row>
    <row r="11" spans="1:12" x14ac:dyDescent="0.35">
      <c r="A11" s="10">
        <v>45673</v>
      </c>
      <c r="B11" s="33">
        <v>2025</v>
      </c>
      <c r="C11" s="5" t="str">
        <f t="shared" si="0"/>
        <v>janvier</v>
      </c>
      <c r="D11" s="5" t="s">
        <v>63</v>
      </c>
      <c r="E11" s="6">
        <v>500</v>
      </c>
      <c r="F11" s="4" t="s">
        <v>66</v>
      </c>
      <c r="G11" s="4" t="str">
        <f>_xlfn.XLOOKUP(Tableau2[[#This Row],[Catégorie]],Listes!C:C,Listes!D:D)</f>
        <v>Charges variables</v>
      </c>
      <c r="H11" s="4" t="str">
        <f>_xlfn.XLOOKUP(Tableau2[[#This Row],[Ressource / dépense]],Listes!D:D,Listes!E:E)</f>
        <v>Décaissement</v>
      </c>
      <c r="I11" s="4" t="s">
        <v>2</v>
      </c>
      <c r="J11" s="4"/>
      <c r="K11" s="11"/>
      <c r="L11" s="4"/>
    </row>
    <row r="12" spans="1:12" x14ac:dyDescent="0.35">
      <c r="A12" s="10">
        <v>45674</v>
      </c>
      <c r="B12" s="33">
        <v>2025</v>
      </c>
      <c r="C12" s="5" t="str">
        <f t="shared" si="0"/>
        <v>janvier</v>
      </c>
      <c r="D12" s="4" t="s">
        <v>43</v>
      </c>
      <c r="E12" s="6">
        <v>10000</v>
      </c>
      <c r="F12" s="4" t="s">
        <v>7</v>
      </c>
      <c r="G12" s="4" t="str">
        <f>_xlfn.XLOOKUP(Tableau2[[#This Row],[Catégorie]],Listes!C:C,Listes!D:D)</f>
        <v>Ressources</v>
      </c>
      <c r="H12" s="4" t="str">
        <f>_xlfn.XLOOKUP(Tableau2[[#This Row],[Ressource / dépense]],Listes!D:D,Listes!E:E)</f>
        <v>Encaissement</v>
      </c>
      <c r="I12" s="4" t="s">
        <v>3</v>
      </c>
      <c r="J12" s="4"/>
      <c r="K12" s="11"/>
      <c r="L12" s="4"/>
    </row>
    <row r="13" spans="1:12" x14ac:dyDescent="0.35">
      <c r="A13" s="10">
        <v>45675</v>
      </c>
      <c r="B13" s="33">
        <v>2025</v>
      </c>
      <c r="C13" s="5" t="str">
        <f t="shared" si="0"/>
        <v>janvier</v>
      </c>
      <c r="D13" s="4" t="s">
        <v>43</v>
      </c>
      <c r="E13" s="6">
        <v>25000</v>
      </c>
      <c r="F13" s="4" t="s">
        <v>7</v>
      </c>
      <c r="G13" s="4" t="str">
        <f>_xlfn.XLOOKUP(Tableau2[[#This Row],[Catégorie]],Listes!C:C,Listes!D:D)</f>
        <v>Ressources</v>
      </c>
      <c r="H13" s="4" t="str">
        <f>_xlfn.XLOOKUP(Tableau2[[#This Row],[Ressource / dépense]],Listes!D:D,Listes!E:E)</f>
        <v>Encaissement</v>
      </c>
      <c r="I13" s="4" t="s">
        <v>4</v>
      </c>
      <c r="J13" s="4"/>
      <c r="K13" s="11"/>
      <c r="L13" s="4"/>
    </row>
    <row r="14" spans="1:12" x14ac:dyDescent="0.35">
      <c r="A14" s="10">
        <v>45676</v>
      </c>
      <c r="B14" s="33">
        <v>2025</v>
      </c>
      <c r="C14" s="5" t="str">
        <f t="shared" si="0"/>
        <v>janvier</v>
      </c>
      <c r="D14" s="4" t="s">
        <v>43</v>
      </c>
      <c r="E14" s="6">
        <v>7500</v>
      </c>
      <c r="F14" s="4" t="s">
        <v>7</v>
      </c>
      <c r="G14" s="4" t="str">
        <f>_xlfn.XLOOKUP(Tableau2[[#This Row],[Catégorie]],Listes!C:C,Listes!D:D)</f>
        <v>Ressources</v>
      </c>
      <c r="H14" s="4" t="str">
        <f>_xlfn.XLOOKUP(Tableau2[[#This Row],[Ressource / dépense]],Listes!D:D,Listes!E:E)</f>
        <v>Encaissement</v>
      </c>
      <c r="I14" s="4" t="s">
        <v>5</v>
      </c>
      <c r="J14" s="4"/>
      <c r="K14" s="11"/>
      <c r="L14" s="4"/>
    </row>
    <row r="15" spans="1:12" x14ac:dyDescent="0.35">
      <c r="A15" s="10">
        <v>45677</v>
      </c>
      <c r="B15" s="33">
        <v>2025</v>
      </c>
      <c r="C15" s="5" t="str">
        <f t="shared" si="0"/>
        <v>janvier</v>
      </c>
      <c r="D15" s="4" t="s">
        <v>43</v>
      </c>
      <c r="E15" s="6">
        <v>5000</v>
      </c>
      <c r="F15" s="4" t="s">
        <v>7</v>
      </c>
      <c r="G15" s="4" t="str">
        <f>_xlfn.XLOOKUP(Tableau2[[#This Row],[Catégorie]],Listes!C:C,Listes!D:D)</f>
        <v>Ressources</v>
      </c>
      <c r="H15" s="4" t="str">
        <f>_xlfn.XLOOKUP(Tableau2[[#This Row],[Ressource / dépense]],Listes!D:D,Listes!E:E)</f>
        <v>Encaissement</v>
      </c>
      <c r="I15" s="4" t="s">
        <v>6</v>
      </c>
      <c r="J15" s="4"/>
      <c r="K15" s="11"/>
      <c r="L15" s="4"/>
    </row>
    <row r="16" spans="1:12" x14ac:dyDescent="0.35">
      <c r="A16" s="10">
        <v>45682</v>
      </c>
      <c r="B16" s="33">
        <v>2025</v>
      </c>
      <c r="C16" s="5" t="str">
        <f t="shared" si="0"/>
        <v>janvier</v>
      </c>
      <c r="D16" s="4" t="s">
        <v>64</v>
      </c>
      <c r="E16" s="6">
        <v>2000</v>
      </c>
      <c r="F16" s="4" t="s">
        <v>12</v>
      </c>
      <c r="G16" s="4" t="str">
        <f>_xlfn.XLOOKUP(Tableau2[[#This Row],[Catégorie]],Listes!C:C,Listes!D:D)</f>
        <v>Ressources</v>
      </c>
      <c r="H16" s="4" t="str">
        <f>_xlfn.XLOOKUP(Tableau2[[#This Row],[Ressource / dépense]],Listes!D:D,Listes!E:E)</f>
        <v>Encaissement</v>
      </c>
      <c r="I16" s="4" t="s">
        <v>0</v>
      </c>
      <c r="J16" s="4"/>
      <c r="K16" s="11"/>
      <c r="L16" s="4"/>
    </row>
    <row r="17" spans="1:12" x14ac:dyDescent="0.35">
      <c r="A17" s="10">
        <v>45693</v>
      </c>
      <c r="B17" s="33">
        <v>2025</v>
      </c>
      <c r="C17" s="5" t="str">
        <f t="shared" si="0"/>
        <v>février</v>
      </c>
      <c r="D17" s="4" t="s">
        <v>14</v>
      </c>
      <c r="E17" s="6">
        <v>700</v>
      </c>
      <c r="F17" s="4" t="s">
        <v>14</v>
      </c>
      <c r="G17" s="4" t="str">
        <f>_xlfn.XLOOKUP(Tableau2[[#This Row],[Catégorie]],Listes!C:C,Listes!D:D)</f>
        <v>Charges fixes</v>
      </c>
      <c r="H17" s="4" t="str">
        <f>_xlfn.XLOOKUP(Tableau2[[#This Row],[Ressource / dépense]],Listes!D:D,Listes!E:E)</f>
        <v>Décaissement</v>
      </c>
      <c r="I17" s="4" t="s">
        <v>0</v>
      </c>
      <c r="J17" s="4"/>
      <c r="K17" s="11"/>
      <c r="L17" s="4"/>
    </row>
    <row r="18" spans="1:12" x14ac:dyDescent="0.35">
      <c r="A18" s="10">
        <v>45716</v>
      </c>
      <c r="B18" s="33">
        <v>2025</v>
      </c>
      <c r="C18" s="5" t="str">
        <f t="shared" si="0"/>
        <v>février</v>
      </c>
      <c r="D18" s="4" t="s">
        <v>44</v>
      </c>
      <c r="E18" s="6">
        <v>1200</v>
      </c>
      <c r="F18" s="4" t="s">
        <v>21</v>
      </c>
      <c r="G18" s="4" t="str">
        <f>_xlfn.XLOOKUP(Tableau2[[#This Row],[Catégorie]],Listes!C:C,Listes!D:D)</f>
        <v>Charges variables</v>
      </c>
      <c r="H18" s="4" t="str">
        <f>_xlfn.XLOOKUP(Tableau2[[#This Row],[Ressource / dépense]],Listes!D:D,Listes!E:E)</f>
        <v>Décaissement</v>
      </c>
      <c r="I18" s="4" t="s">
        <v>6</v>
      </c>
      <c r="J18" s="4" t="s">
        <v>45</v>
      </c>
      <c r="K18" s="11"/>
      <c r="L18" s="4"/>
    </row>
    <row r="19" spans="1:12" x14ac:dyDescent="0.35">
      <c r="A19" s="10">
        <v>45818</v>
      </c>
      <c r="B19" s="33">
        <v>2025</v>
      </c>
      <c r="C19" s="5" t="str">
        <f t="shared" si="0"/>
        <v>juin</v>
      </c>
      <c r="D19" s="4" t="s">
        <v>27</v>
      </c>
      <c r="E19" s="6">
        <v>200</v>
      </c>
      <c r="F19" s="4" t="s">
        <v>67</v>
      </c>
      <c r="G19" s="4" t="str">
        <f>_xlfn.XLOOKUP(Tableau2[[#This Row],[Catégorie]],Listes!C:C,Listes!D:D)</f>
        <v>Charges variables</v>
      </c>
      <c r="H19" s="4" t="str">
        <f>_xlfn.XLOOKUP(Tableau2[[#This Row],[Ressource / dépense]],Listes!D:D,Listes!E:E)</f>
        <v>Décaissement</v>
      </c>
      <c r="I19" s="4" t="s">
        <v>0</v>
      </c>
      <c r="J19" s="4"/>
      <c r="K19" s="11"/>
      <c r="L19" s="4"/>
    </row>
    <row r="20" spans="1:12" x14ac:dyDescent="0.35">
      <c r="A20" s="10">
        <v>45849</v>
      </c>
      <c r="B20" s="33">
        <v>2025</v>
      </c>
      <c r="C20" s="5" t="str">
        <f t="shared" si="0"/>
        <v>juillet</v>
      </c>
      <c r="D20" s="4" t="s">
        <v>28</v>
      </c>
      <c r="E20" s="6">
        <v>50</v>
      </c>
      <c r="F20" s="4" t="s">
        <v>18</v>
      </c>
      <c r="G20" s="4" t="str">
        <f>_xlfn.XLOOKUP(Tableau2[[#This Row],[Catégorie]],Listes!C:C,Listes!D:D)</f>
        <v>Charges variables</v>
      </c>
      <c r="H20" s="4" t="str">
        <f>_xlfn.XLOOKUP(Tableau2[[#This Row],[Ressource / dépense]],Listes!D:D,Listes!E:E)</f>
        <v>Décaissement</v>
      </c>
      <c r="I20" s="4" t="s">
        <v>2</v>
      </c>
      <c r="J20" s="4" t="s">
        <v>29</v>
      </c>
      <c r="K20" s="11"/>
      <c r="L20" s="4"/>
    </row>
    <row r="21" spans="1:12" x14ac:dyDescent="0.35">
      <c r="A21" s="19">
        <v>45881</v>
      </c>
      <c r="B21" s="33">
        <v>2025</v>
      </c>
      <c r="C21" s="5" t="str">
        <f t="shared" si="0"/>
        <v>août</v>
      </c>
      <c r="D21" s="16" t="s">
        <v>30</v>
      </c>
      <c r="E21" s="17">
        <v>350</v>
      </c>
      <c r="F21" s="16" t="s">
        <v>39</v>
      </c>
      <c r="G21" s="16" t="str">
        <f>_xlfn.XLOOKUP(Tableau2[[#This Row],[Catégorie]],Listes!C:C,Listes!D:D)</f>
        <v>Charges variables</v>
      </c>
      <c r="H21" s="4" t="str">
        <f>_xlfn.XLOOKUP(Tableau2[[#This Row],[Ressource / dépense]],Listes!D:D,Listes!E:E)</f>
        <v>Décaissement</v>
      </c>
      <c r="I21" s="16" t="s">
        <v>0</v>
      </c>
      <c r="J21" s="16"/>
      <c r="K21" s="18" t="s">
        <v>31</v>
      </c>
      <c r="L21" s="4"/>
    </row>
    <row r="22" spans="1:12" x14ac:dyDescent="0.35">
      <c r="A22" s="19">
        <v>45912</v>
      </c>
      <c r="B22" s="33">
        <v>2025</v>
      </c>
      <c r="C22" s="15" t="str">
        <f t="shared" si="0"/>
        <v>septembre</v>
      </c>
      <c r="D22" s="16" t="s">
        <v>32</v>
      </c>
      <c r="E22" s="17">
        <v>250</v>
      </c>
      <c r="F22" s="16" t="s">
        <v>19</v>
      </c>
      <c r="G22" s="16" t="str">
        <f>_xlfn.XLOOKUP(Tableau2[[#This Row],[Catégorie]],Listes!C:C,Listes!D:D)</f>
        <v>Charges variables</v>
      </c>
      <c r="H22" s="4" t="str">
        <f>_xlfn.XLOOKUP(Tableau2[[#This Row],[Ressource / dépense]],Listes!D:D,Listes!E:E)</f>
        <v>Décaissement</v>
      </c>
      <c r="I22" s="16" t="s">
        <v>0</v>
      </c>
      <c r="J22" s="16"/>
      <c r="K22" s="18" t="s">
        <v>31</v>
      </c>
      <c r="L22" s="4"/>
    </row>
    <row r="23" spans="1:12" x14ac:dyDescent="0.35">
      <c r="A23" s="19">
        <v>45943</v>
      </c>
      <c r="B23" s="33">
        <v>2025</v>
      </c>
      <c r="C23" s="15" t="str">
        <f t="shared" si="0"/>
        <v>octobre</v>
      </c>
      <c r="D23" s="16" t="s">
        <v>33</v>
      </c>
      <c r="E23" s="17">
        <v>100</v>
      </c>
      <c r="F23" s="16" t="s">
        <v>18</v>
      </c>
      <c r="G23" s="16" t="str">
        <f>_xlfn.XLOOKUP(Tableau2[[#This Row],[Catégorie]],Listes!C:C,Listes!D:D)</f>
        <v>Charges variables</v>
      </c>
      <c r="H23" s="4" t="str">
        <f>_xlfn.XLOOKUP(Tableau2[[#This Row],[Ressource / dépense]],Listes!D:D,Listes!E:E)</f>
        <v>Décaissement</v>
      </c>
      <c r="I23" s="16" t="s">
        <v>3</v>
      </c>
      <c r="J23" s="16" t="s">
        <v>34</v>
      </c>
      <c r="K23" s="18" t="s">
        <v>35</v>
      </c>
      <c r="L23" s="4"/>
    </row>
    <row r="24" spans="1:12" x14ac:dyDescent="0.35">
      <c r="A24" s="19">
        <v>45943</v>
      </c>
      <c r="B24" s="33">
        <v>2025</v>
      </c>
      <c r="C24" s="15" t="str">
        <f t="shared" si="0"/>
        <v>octobre</v>
      </c>
      <c r="D24" s="16" t="s">
        <v>33</v>
      </c>
      <c r="E24" s="17">
        <v>500</v>
      </c>
      <c r="F24" s="16" t="s">
        <v>66</v>
      </c>
      <c r="G24" s="16" t="str">
        <f>_xlfn.XLOOKUP(Tableau2[[#This Row],[Catégorie]],Listes!C:C,Listes!D:D)</f>
        <v>Charges variables</v>
      </c>
      <c r="H24" s="4" t="str">
        <f>_xlfn.XLOOKUP(Tableau2[[#This Row],[Ressource / dépense]],Listes!D:D,Listes!E:E)</f>
        <v>Décaissement</v>
      </c>
      <c r="I24" s="16" t="s">
        <v>3</v>
      </c>
      <c r="J24" s="16" t="s">
        <v>34</v>
      </c>
      <c r="K24" s="18" t="s">
        <v>35</v>
      </c>
      <c r="L24" s="4"/>
    </row>
    <row r="25" spans="1:12" x14ac:dyDescent="0.35">
      <c r="A25" s="19">
        <v>45975</v>
      </c>
      <c r="B25" s="33">
        <v>2025</v>
      </c>
      <c r="C25" s="15" t="str">
        <f t="shared" si="0"/>
        <v>novembre</v>
      </c>
      <c r="D25" s="16" t="s">
        <v>36</v>
      </c>
      <c r="E25" s="24">
        <v>500</v>
      </c>
      <c r="F25" s="16" t="s">
        <v>66</v>
      </c>
      <c r="G25" s="16" t="str">
        <f>_xlfn.XLOOKUP(Tableau2[[#This Row],[Catégorie]],Listes!C:C,Listes!D:D)</f>
        <v>Charges variables</v>
      </c>
      <c r="H25" s="4" t="str">
        <f>_xlfn.XLOOKUP(Tableau2[[#This Row],[Ressource / dépense]],Listes!D:D,Listes!E:E)</f>
        <v>Décaissement</v>
      </c>
      <c r="I25" s="16" t="s">
        <v>1</v>
      </c>
      <c r="J25" s="16" t="s">
        <v>41</v>
      </c>
      <c r="K25" s="18"/>
      <c r="L25" s="4"/>
    </row>
    <row r="26" spans="1:12" x14ac:dyDescent="0.35">
      <c r="A26" s="19">
        <v>46021</v>
      </c>
      <c r="B26" s="33">
        <v>2025</v>
      </c>
      <c r="C26" s="15" t="str">
        <f t="shared" si="0"/>
        <v>décembre</v>
      </c>
      <c r="D26" s="16" t="s">
        <v>37</v>
      </c>
      <c r="E26" s="17">
        <v>1000</v>
      </c>
      <c r="F26" s="16" t="s">
        <v>13</v>
      </c>
      <c r="G26" s="16" t="str">
        <f>_xlfn.XLOOKUP(Tableau2[[#This Row],[Catégorie]],Listes!C:C,Listes!D:D)</f>
        <v>Charges fixes</v>
      </c>
      <c r="H26" s="16" t="str">
        <f>_xlfn.XLOOKUP(Tableau2[[#This Row],[Ressource / dépense]],Listes!D:D,Listes!E:E)</f>
        <v>Décaissement</v>
      </c>
      <c r="I26" s="16" t="s">
        <v>0</v>
      </c>
      <c r="J26" s="16"/>
      <c r="K26" s="18"/>
      <c r="L26" s="4"/>
    </row>
    <row r="27" spans="1:12" x14ac:dyDescent="0.35">
      <c r="A27" s="19">
        <v>46021</v>
      </c>
      <c r="B27" s="33">
        <v>2025</v>
      </c>
      <c r="C27" s="15" t="str">
        <f t="shared" si="0"/>
        <v>décembre</v>
      </c>
      <c r="D27" s="16" t="s">
        <v>37</v>
      </c>
      <c r="E27" s="17">
        <v>1000</v>
      </c>
      <c r="F27" s="16" t="s">
        <v>13</v>
      </c>
      <c r="G27" s="16" t="str">
        <f>_xlfn.XLOOKUP(Tableau2[[#This Row],[Catégorie]],Listes!C:C,Listes!D:D)</f>
        <v>Charges fixes</v>
      </c>
      <c r="H27" s="16" t="str">
        <f>_xlfn.XLOOKUP(Tableau2[[#This Row],[Ressource / dépense]],Listes!D:D,Listes!E:E)</f>
        <v>Décaissement</v>
      </c>
      <c r="I27" s="16" t="s">
        <v>1</v>
      </c>
      <c r="J27" s="16"/>
      <c r="K27" s="18"/>
      <c r="L27" s="4"/>
    </row>
    <row r="28" spans="1:12" x14ac:dyDescent="0.35">
      <c r="A28" s="19">
        <v>46021</v>
      </c>
      <c r="B28" s="33">
        <v>2025</v>
      </c>
      <c r="C28" s="15" t="str">
        <f t="shared" si="0"/>
        <v>décembre</v>
      </c>
      <c r="D28" s="16" t="s">
        <v>37</v>
      </c>
      <c r="E28" s="17">
        <v>1000</v>
      </c>
      <c r="F28" s="16" t="s">
        <v>13</v>
      </c>
      <c r="G28" s="16" t="str">
        <f>_xlfn.XLOOKUP(Tableau2[[#This Row],[Catégorie]],Listes!C:C,Listes!D:D)</f>
        <v>Charges fixes</v>
      </c>
      <c r="H28" s="16" t="str">
        <f>_xlfn.XLOOKUP(Tableau2[[#This Row],[Ressource / dépense]],Listes!D:D,Listes!E:E)</f>
        <v>Décaissement</v>
      </c>
      <c r="I28" s="16" t="s">
        <v>2</v>
      </c>
      <c r="J28" s="16"/>
      <c r="K28" s="18"/>
      <c r="L28" s="4"/>
    </row>
    <row r="29" spans="1:12" x14ac:dyDescent="0.35">
      <c r="A29" s="19">
        <v>45693</v>
      </c>
      <c r="B29" s="33">
        <v>2025</v>
      </c>
      <c r="C29" s="15" t="str">
        <f t="shared" si="0"/>
        <v>février</v>
      </c>
      <c r="D29" s="16" t="s">
        <v>82</v>
      </c>
      <c r="E29" s="17">
        <v>300</v>
      </c>
      <c r="F29" s="16" t="s">
        <v>66</v>
      </c>
      <c r="G29" s="16" t="str">
        <f>_xlfn.XLOOKUP(Tableau2[[#This Row],[Catégorie]],Listes!C:C,Listes!D:D)</f>
        <v>Charges variables</v>
      </c>
      <c r="H29" s="16" t="str">
        <f>_xlfn.XLOOKUP(Tableau2[[#This Row],[Ressource / dépense]],Listes!D:D,Listes!E:E)</f>
        <v>Décaissement</v>
      </c>
      <c r="I29" s="16" t="s">
        <v>5</v>
      </c>
      <c r="J29" s="16"/>
      <c r="K29" s="18" t="s">
        <v>82</v>
      </c>
      <c r="L29" s="4"/>
    </row>
    <row r="30" spans="1:12" x14ac:dyDescent="0.35">
      <c r="A30" s="19">
        <v>45719</v>
      </c>
      <c r="B30" s="33">
        <v>2025</v>
      </c>
      <c r="C30" s="15" t="str">
        <f t="shared" si="0"/>
        <v>mars</v>
      </c>
      <c r="D30" s="16" t="s">
        <v>86</v>
      </c>
      <c r="E30" s="17">
        <v>2000</v>
      </c>
      <c r="F30" s="16" t="s">
        <v>77</v>
      </c>
      <c r="G30" s="16" t="str">
        <f>_xlfn.XLOOKUP(Tableau2[[#This Row],[Catégorie]],Listes!C:C,Listes!D:D)</f>
        <v>Ressources</v>
      </c>
      <c r="H30" s="16" t="str">
        <f>_xlfn.XLOOKUP(Tableau2[[#This Row],[Ressource / dépense]],Listes!D:D,Listes!E:E)</f>
        <v>Encaissement</v>
      </c>
      <c r="I30" s="16" t="s">
        <v>0</v>
      </c>
      <c r="J30" s="16"/>
      <c r="K30" s="18"/>
      <c r="L30" s="4"/>
    </row>
    <row r="31" spans="1:12" x14ac:dyDescent="0.35">
      <c r="A31" s="19">
        <v>45780</v>
      </c>
      <c r="B31" s="33">
        <v>2025</v>
      </c>
      <c r="C31" s="15" t="str">
        <f t="shared" si="0"/>
        <v>mai</v>
      </c>
      <c r="D31" s="16" t="s">
        <v>87</v>
      </c>
      <c r="E31" s="17">
        <v>800</v>
      </c>
      <c r="F31" s="16" t="s">
        <v>76</v>
      </c>
      <c r="G31" s="16" t="str">
        <f>_xlfn.XLOOKUP(Tableau2[[#This Row],[Catégorie]],Listes!C:C,Listes!D:D)</f>
        <v>Ressources</v>
      </c>
      <c r="H31" s="16" t="str">
        <f>_xlfn.XLOOKUP(Tableau2[[#This Row],[Ressource / dépense]],Listes!D:D,Listes!E:E)</f>
        <v>Encaissement</v>
      </c>
      <c r="I31" s="16" t="s">
        <v>0</v>
      </c>
      <c r="J31" s="16"/>
      <c r="K31" s="18"/>
      <c r="L31" s="4"/>
    </row>
    <row r="32" spans="1:12" x14ac:dyDescent="0.35">
      <c r="A32" s="19">
        <v>45823</v>
      </c>
      <c r="B32" s="33">
        <v>2025</v>
      </c>
      <c r="C32" s="15" t="str">
        <f t="shared" si="0"/>
        <v>juin</v>
      </c>
      <c r="D32" s="16" t="s">
        <v>88</v>
      </c>
      <c r="E32" s="17">
        <v>10000</v>
      </c>
      <c r="F32" s="16" t="s">
        <v>11</v>
      </c>
      <c r="G32" s="16" t="str">
        <f>_xlfn.XLOOKUP(Tableau2[[#This Row],[Catégorie]],Listes!C:C,Listes!D:D)</f>
        <v>Ressources</v>
      </c>
      <c r="H32" s="16" t="str">
        <f>_xlfn.XLOOKUP(Tableau2[[#This Row],[Ressource / dépense]],Listes!D:D,Listes!E:E)</f>
        <v>Encaissement</v>
      </c>
      <c r="I32" s="16" t="s">
        <v>3</v>
      </c>
      <c r="J32" s="16"/>
      <c r="K32" s="18"/>
      <c r="L32" s="4"/>
    </row>
    <row r="33" spans="1:12" x14ac:dyDescent="0.35">
      <c r="A33" s="19">
        <v>45843</v>
      </c>
      <c r="B33" s="33">
        <v>2025</v>
      </c>
      <c r="C33" s="15" t="str">
        <f t="shared" si="0"/>
        <v>juillet</v>
      </c>
      <c r="D33" s="16" t="s">
        <v>89</v>
      </c>
      <c r="E33" s="17">
        <v>150</v>
      </c>
      <c r="F33" s="16" t="s">
        <v>78</v>
      </c>
      <c r="G33" s="16" t="str">
        <f>_xlfn.XLOOKUP(Tableau2[[#This Row],[Catégorie]],Listes!C:C,Listes!D:D)</f>
        <v>Charges variables</v>
      </c>
      <c r="H33" s="16" t="str">
        <f>_xlfn.XLOOKUP(Tableau2[[#This Row],[Ressource / dépense]],Listes!D:D,Listes!E:E)</f>
        <v>Décaissement</v>
      </c>
      <c r="I33" s="16" t="s">
        <v>0</v>
      </c>
      <c r="J33" s="16"/>
      <c r="K33" s="18"/>
      <c r="L33" s="4"/>
    </row>
    <row r="34" spans="1:12" x14ac:dyDescent="0.35">
      <c r="A34" s="19">
        <v>45882</v>
      </c>
      <c r="B34" s="33">
        <v>2025</v>
      </c>
      <c r="C34" s="15" t="str">
        <f t="shared" si="0"/>
        <v>août</v>
      </c>
      <c r="D34" s="16" t="s">
        <v>92</v>
      </c>
      <c r="E34" s="17">
        <v>5000</v>
      </c>
      <c r="F34" s="16" t="s">
        <v>75</v>
      </c>
      <c r="G34" s="16" t="str">
        <f>_xlfn.XLOOKUP(Tableau2[[#This Row],[Catégorie]],Listes!C:C,Listes!D:D)</f>
        <v>Charges variables</v>
      </c>
      <c r="H34" s="16" t="str">
        <f>_xlfn.XLOOKUP(Tableau2[[#This Row],[Ressource / dépense]],Listes!D:D,Listes!E:E)</f>
        <v>Décaissement</v>
      </c>
      <c r="I34" s="16" t="s">
        <v>0</v>
      </c>
      <c r="J34" s="16"/>
      <c r="K34" s="18"/>
      <c r="L34" s="4"/>
    </row>
    <row r="35" spans="1:12" x14ac:dyDescent="0.35">
      <c r="A35" s="19">
        <v>45914</v>
      </c>
      <c r="B35" s="33">
        <v>2025</v>
      </c>
      <c r="C35" s="15" t="str">
        <f t="shared" si="0"/>
        <v>septembre</v>
      </c>
      <c r="D35" s="16" t="s">
        <v>93</v>
      </c>
      <c r="E35" s="17">
        <v>500</v>
      </c>
      <c r="F35" s="16" t="s">
        <v>79</v>
      </c>
      <c r="G35" s="16" t="str">
        <f>_xlfn.XLOOKUP(Tableau2[[#This Row],[Catégorie]],Listes!C:C,Listes!D:D)</f>
        <v>Charges variables</v>
      </c>
      <c r="H35" s="16" t="str">
        <f>_xlfn.XLOOKUP(Tableau2[[#This Row],[Ressource / dépense]],Listes!D:D,Listes!E:E)</f>
        <v>Décaissement</v>
      </c>
      <c r="I35" s="16" t="s">
        <v>0</v>
      </c>
      <c r="J35" s="16"/>
      <c r="K35" s="18"/>
      <c r="L35" s="4"/>
    </row>
    <row r="36" spans="1:12" x14ac:dyDescent="0.35">
      <c r="A36" s="19">
        <v>45902</v>
      </c>
      <c r="B36" s="33">
        <v>2025</v>
      </c>
      <c r="C36" s="15" t="str">
        <f t="shared" si="0"/>
        <v>septembre</v>
      </c>
      <c r="D36" s="16" t="s">
        <v>94</v>
      </c>
      <c r="E36" s="17">
        <v>100</v>
      </c>
      <c r="F36" s="16" t="s">
        <v>74</v>
      </c>
      <c r="G36" s="16" t="str">
        <f>_xlfn.XLOOKUP(Tableau2[[#This Row],[Catégorie]],Listes!C:C,Listes!D:D)</f>
        <v>Charges variables</v>
      </c>
      <c r="H36" s="16" t="str">
        <f>_xlfn.XLOOKUP(Tableau2[[#This Row],[Ressource / dépense]],Listes!D:D,Listes!E:E)</f>
        <v>Décaissement</v>
      </c>
      <c r="I36" s="16" t="s">
        <v>0</v>
      </c>
      <c r="J36" s="16"/>
      <c r="K36" s="18"/>
      <c r="L36" s="4"/>
    </row>
    <row r="37" spans="1:12" x14ac:dyDescent="0.35">
      <c r="A37" s="19">
        <v>46001</v>
      </c>
      <c r="B37" s="33">
        <v>2025</v>
      </c>
      <c r="C37" s="15" t="str">
        <f t="shared" si="0"/>
        <v>décembre</v>
      </c>
      <c r="D37" s="16" t="s">
        <v>95</v>
      </c>
      <c r="E37" s="17">
        <v>50</v>
      </c>
      <c r="F37" s="16" t="s">
        <v>72</v>
      </c>
      <c r="G37" s="16" t="str">
        <f>_xlfn.XLOOKUP(Tableau2[[#This Row],[Catégorie]],Listes!C:C,Listes!D:D)</f>
        <v>Charges fixes</v>
      </c>
      <c r="H37" s="16" t="str">
        <f>_xlfn.XLOOKUP(Tableau2[[#This Row],[Ressource / dépense]],Listes!D:D,Listes!E:E)</f>
        <v>Décaissement</v>
      </c>
      <c r="I37" s="16" t="s">
        <v>0</v>
      </c>
      <c r="J37" s="16"/>
      <c r="K37" s="18"/>
      <c r="L37" s="4"/>
    </row>
    <row r="38" spans="1:12" x14ac:dyDescent="0.35">
      <c r="A38" s="19">
        <v>45667</v>
      </c>
      <c r="B38" s="33">
        <v>2025</v>
      </c>
      <c r="C38" s="15" t="str">
        <f t="shared" si="0"/>
        <v>janvier</v>
      </c>
      <c r="D38" s="16" t="s">
        <v>8</v>
      </c>
      <c r="E38" s="17">
        <v>15000</v>
      </c>
      <c r="F38" s="16" t="s">
        <v>8</v>
      </c>
      <c r="G38" s="16" t="str">
        <f>_xlfn.XLOOKUP(Tableau2[[#This Row],[Catégorie]],Listes!C:C,Listes!D:D)</f>
        <v>Ressources</v>
      </c>
      <c r="H38" s="16" t="str">
        <f>_xlfn.XLOOKUP(Tableau2[[#This Row],[Ressource / dépense]],Listes!D:D,Listes!E:E)</f>
        <v>Encaissement</v>
      </c>
      <c r="I38" s="16" t="s">
        <v>2</v>
      </c>
      <c r="J38" s="16"/>
      <c r="K38" s="18"/>
      <c r="L38" s="4"/>
    </row>
    <row r="39" spans="1:12" x14ac:dyDescent="0.35">
      <c r="A39" s="19">
        <v>46010</v>
      </c>
      <c r="B39" s="33">
        <v>2025</v>
      </c>
      <c r="C39" s="15" t="str">
        <f t="shared" si="0"/>
        <v>décembre</v>
      </c>
      <c r="D39" s="16" t="s">
        <v>96</v>
      </c>
      <c r="E39" s="17">
        <v>50</v>
      </c>
      <c r="F39" s="16" t="s">
        <v>73</v>
      </c>
      <c r="G39" s="16" t="str">
        <f>_xlfn.XLOOKUP(Tableau2[[#This Row],[Catégorie]],Listes!C:C,Listes!D:D)</f>
        <v>Charges fixes</v>
      </c>
      <c r="H39" s="16" t="str">
        <f>_xlfn.XLOOKUP(Tableau2[[#This Row],[Ressource / dépense]],Listes!D:D,Listes!E:E)</f>
        <v>Décaissement</v>
      </c>
      <c r="I39" s="16" t="s">
        <v>0</v>
      </c>
      <c r="J39" s="16"/>
      <c r="K39" s="18"/>
      <c r="L39" s="4"/>
    </row>
    <row r="40" spans="1:12" x14ac:dyDescent="0.35">
      <c r="A40" s="5">
        <v>45977</v>
      </c>
      <c r="B40" s="4">
        <v>2025</v>
      </c>
      <c r="C40" s="5" t="str">
        <f t="shared" si="0"/>
        <v>novembre</v>
      </c>
      <c r="D40" s="4" t="s">
        <v>97</v>
      </c>
      <c r="E40" s="6">
        <v>300</v>
      </c>
      <c r="F40" s="4" t="s">
        <v>20</v>
      </c>
      <c r="G40" s="4" t="str">
        <f>_xlfn.XLOOKUP(Tableau2[[#This Row],[Catégorie]],Listes!C:C,Listes!D:D)</f>
        <v>Charges variables</v>
      </c>
      <c r="H40" s="4" t="str">
        <f>_xlfn.XLOOKUP(Tableau2[[#This Row],[Ressource / dépense]],Listes!D:D,Listes!E:E)</f>
        <v>Décaissement</v>
      </c>
      <c r="I40" s="4" t="s">
        <v>1</v>
      </c>
      <c r="J40" s="4"/>
      <c r="K40" s="4"/>
      <c r="L40" s="4"/>
    </row>
    <row r="41" spans="1:12" x14ac:dyDescent="0.35">
      <c r="A41" s="5">
        <v>45757</v>
      </c>
      <c r="B41" s="4">
        <v>2025</v>
      </c>
      <c r="C41" s="5" t="str">
        <f t="shared" ref="C41:C54" si="1">TEXT(A41,"mmmm")</f>
        <v>avril</v>
      </c>
      <c r="D41" s="4" t="s">
        <v>15</v>
      </c>
      <c r="E41" s="6">
        <v>500</v>
      </c>
      <c r="F41" s="6" t="s">
        <v>15</v>
      </c>
      <c r="G41" s="4" t="str">
        <f>_xlfn.XLOOKUP(Tableau2[[#This Row],[Catégorie]],Listes!C:C,Listes!D:D)</f>
        <v>Charges fixes</v>
      </c>
      <c r="H41" s="4" t="str">
        <f>_xlfn.XLOOKUP(Tableau2[[#This Row],[Ressource / dépense]],Listes!D:D,Listes!E:E)</f>
        <v>Décaissement</v>
      </c>
      <c r="I41" s="4" t="s">
        <v>0</v>
      </c>
      <c r="J41" s="4"/>
      <c r="K41" s="4"/>
      <c r="L41" s="4"/>
    </row>
    <row r="42" spans="1:12" x14ac:dyDescent="0.35">
      <c r="A42" s="5">
        <v>45787</v>
      </c>
      <c r="B42" s="4">
        <v>2025</v>
      </c>
      <c r="C42" s="5" t="str">
        <f t="shared" si="1"/>
        <v>mai</v>
      </c>
      <c r="D42" s="4" t="s">
        <v>96</v>
      </c>
      <c r="E42" s="6">
        <v>150</v>
      </c>
      <c r="F42" s="6" t="s">
        <v>73</v>
      </c>
      <c r="G42" s="4" t="str">
        <f>_xlfn.XLOOKUP(Tableau2[[#This Row],[Catégorie]],Listes!C:C,Listes!D:D)</f>
        <v>Charges fixes</v>
      </c>
      <c r="H42" s="4" t="str">
        <f>_xlfn.XLOOKUP(Tableau2[[#This Row],[Ressource / dépense]],Listes!D:D,Listes!E:E)</f>
        <v>Décaissement</v>
      </c>
      <c r="I42" s="4" t="s">
        <v>0</v>
      </c>
      <c r="J42" s="4"/>
      <c r="K42" s="4"/>
      <c r="L42" s="4"/>
    </row>
    <row r="43" spans="1:12" x14ac:dyDescent="0.35">
      <c r="A43" s="5">
        <v>45809</v>
      </c>
      <c r="B43" s="4">
        <v>2025</v>
      </c>
      <c r="C43" s="5" t="str">
        <f t="shared" si="1"/>
        <v>juin</v>
      </c>
      <c r="D43" s="4" t="s">
        <v>27</v>
      </c>
      <c r="E43" s="6">
        <v>200</v>
      </c>
      <c r="F43" s="6" t="s">
        <v>66</v>
      </c>
      <c r="G43" s="4" t="str">
        <f>_xlfn.XLOOKUP(Tableau2[[#This Row],[Catégorie]],Listes!C:C,Listes!D:D)</f>
        <v>Charges variables</v>
      </c>
      <c r="H43" s="4" t="str">
        <f>_xlfn.XLOOKUP(Tableau2[[#This Row],[Ressource / dépense]],Listes!D:D,Listes!E:E)</f>
        <v>Décaissement</v>
      </c>
      <c r="I43" s="4" t="s">
        <v>0</v>
      </c>
      <c r="J43" s="4"/>
      <c r="K43" s="4"/>
      <c r="L43" s="4"/>
    </row>
    <row r="44" spans="1:12" x14ac:dyDescent="0.35">
      <c r="A44" s="5">
        <v>46013</v>
      </c>
      <c r="B44" s="4">
        <v>2025</v>
      </c>
      <c r="C44" s="5" t="str">
        <f t="shared" si="1"/>
        <v>décembre</v>
      </c>
      <c r="D44" s="4" t="s">
        <v>107</v>
      </c>
      <c r="E44" s="6">
        <v>200</v>
      </c>
      <c r="F44" s="6" t="s">
        <v>18</v>
      </c>
      <c r="G44" s="4" t="str">
        <f>_xlfn.XLOOKUP(Tableau2[[#This Row],[Catégorie]],Listes!C:C,Listes!D:D)</f>
        <v>Charges variables</v>
      </c>
      <c r="H44" s="4" t="str">
        <f>_xlfn.XLOOKUP(Tableau2[[#This Row],[Ressource / dépense]],Listes!D:D,Listes!E:E)</f>
        <v>Décaissement</v>
      </c>
      <c r="I44" s="4" t="s">
        <v>3</v>
      </c>
      <c r="J44" s="4"/>
      <c r="K44" s="4"/>
      <c r="L44" s="4"/>
    </row>
    <row r="45" spans="1:12" x14ac:dyDescent="0.35">
      <c r="A45" s="5">
        <v>46013</v>
      </c>
      <c r="B45" s="4">
        <v>2025</v>
      </c>
      <c r="C45" s="5" t="str">
        <f t="shared" si="1"/>
        <v>décembre</v>
      </c>
      <c r="D45" s="4" t="s">
        <v>106</v>
      </c>
      <c r="E45" s="6">
        <v>500</v>
      </c>
      <c r="F45" s="6" t="s">
        <v>66</v>
      </c>
      <c r="G45" s="4" t="str">
        <f>_xlfn.XLOOKUP(Tableau2[[#This Row],[Catégorie]],Listes!C:C,Listes!D:D)</f>
        <v>Charges variables</v>
      </c>
      <c r="H45" s="4" t="str">
        <f>_xlfn.XLOOKUP(Tableau2[[#This Row],[Ressource / dépense]],Listes!D:D,Listes!E:E)</f>
        <v>Décaissement</v>
      </c>
      <c r="I45" s="4" t="s">
        <v>3</v>
      </c>
      <c r="J45" s="4"/>
      <c r="K45" s="4"/>
      <c r="L45" s="4"/>
    </row>
    <row r="46" spans="1:12" x14ac:dyDescent="0.35">
      <c r="A46" s="5">
        <v>46027</v>
      </c>
      <c r="B46" s="4">
        <v>2025</v>
      </c>
      <c r="C46" s="5" t="str">
        <f t="shared" si="1"/>
        <v>janvier</v>
      </c>
      <c r="D46" s="4" t="s">
        <v>32</v>
      </c>
      <c r="E46" s="6">
        <v>500</v>
      </c>
      <c r="F46" s="6" t="s">
        <v>19</v>
      </c>
      <c r="G46" s="4" t="str">
        <f>_xlfn.XLOOKUP(Tableau2[[#This Row],[Catégorie]],Listes!C:C,Listes!D:D)</f>
        <v>Charges variables</v>
      </c>
      <c r="H46" s="4" t="str">
        <f>_xlfn.XLOOKUP(Tableau2[[#This Row],[Ressource / dépense]],Listes!D:D,Listes!E:E)</f>
        <v>Décaissement</v>
      </c>
      <c r="I46" s="4" t="s">
        <v>3</v>
      </c>
      <c r="J46" s="4"/>
      <c r="K46" s="4"/>
      <c r="L46" s="4"/>
    </row>
    <row r="47" spans="1:12" x14ac:dyDescent="0.35">
      <c r="A47" s="5">
        <v>46017</v>
      </c>
      <c r="B47" s="4">
        <v>2025</v>
      </c>
      <c r="C47" s="5" t="str">
        <f t="shared" si="1"/>
        <v>décembre</v>
      </c>
      <c r="D47" s="4" t="s">
        <v>37</v>
      </c>
      <c r="E47" s="6">
        <v>2000</v>
      </c>
      <c r="F47" s="6" t="s">
        <v>13</v>
      </c>
      <c r="G47" s="4" t="str">
        <f>_xlfn.XLOOKUP(Tableau2[[#This Row],[Catégorie]],Listes!C:C,Listes!D:D)</f>
        <v>Charges fixes</v>
      </c>
      <c r="H47" s="4" t="str">
        <f>_xlfn.XLOOKUP(Tableau2[[#This Row],[Ressource / dépense]],Listes!D:D,Listes!E:E)</f>
        <v>Décaissement</v>
      </c>
      <c r="I47" s="4" t="s">
        <v>0</v>
      </c>
      <c r="J47" s="4"/>
      <c r="K47" s="4"/>
      <c r="L47" s="4"/>
    </row>
    <row r="48" spans="1:12" x14ac:dyDescent="0.35">
      <c r="A48" s="5">
        <v>46017</v>
      </c>
      <c r="B48" s="4">
        <v>2025</v>
      </c>
      <c r="C48" s="5" t="str">
        <f t="shared" si="1"/>
        <v>décembre</v>
      </c>
      <c r="D48" s="4" t="s">
        <v>37</v>
      </c>
      <c r="E48" s="6">
        <v>2000</v>
      </c>
      <c r="F48" s="6" t="s">
        <v>13</v>
      </c>
      <c r="G48" s="4" t="str">
        <f>_xlfn.XLOOKUP(Tableau2[[#This Row],[Catégorie]],Listes!C:C,Listes!D:D)</f>
        <v>Charges fixes</v>
      </c>
      <c r="H48" s="4" t="str">
        <f>_xlfn.XLOOKUP(Tableau2[[#This Row],[Ressource / dépense]],Listes!D:D,Listes!E:E)</f>
        <v>Décaissement</v>
      </c>
      <c r="I48" s="4" t="s">
        <v>1</v>
      </c>
      <c r="J48" s="4"/>
      <c r="K48" s="4"/>
      <c r="L48" s="4"/>
    </row>
    <row r="49" spans="1:12" x14ac:dyDescent="0.35">
      <c r="A49" s="5">
        <v>45809</v>
      </c>
      <c r="B49" s="4">
        <v>2025</v>
      </c>
      <c r="C49" s="5" t="str">
        <f t="shared" si="1"/>
        <v>juin</v>
      </c>
      <c r="D49" s="4" t="s">
        <v>67</v>
      </c>
      <c r="E49" s="6">
        <v>200</v>
      </c>
      <c r="F49" s="6" t="s">
        <v>67</v>
      </c>
      <c r="G49" s="4" t="str">
        <f>_xlfn.XLOOKUP(Tableau2[[#This Row],[Catégorie]],Listes!C:C,Listes!D:D)</f>
        <v>Charges variables</v>
      </c>
      <c r="H49" s="4" t="str">
        <f>_xlfn.XLOOKUP(Tableau2[[#This Row],[Ressource / dépense]],Listes!D:D,Listes!E:E)</f>
        <v>Décaissement</v>
      </c>
      <c r="I49" s="4" t="s">
        <v>0</v>
      </c>
      <c r="J49" s="4"/>
      <c r="K49" s="4"/>
      <c r="L49" s="4"/>
    </row>
    <row r="50" spans="1:12" x14ac:dyDescent="0.35">
      <c r="A50" s="5">
        <v>46011</v>
      </c>
      <c r="B50" s="4">
        <v>2025</v>
      </c>
      <c r="C50" s="5" t="str">
        <f t="shared" si="1"/>
        <v>décembre</v>
      </c>
      <c r="D50" s="4" t="s">
        <v>18</v>
      </c>
      <c r="E50" s="6">
        <v>200</v>
      </c>
      <c r="F50" s="6" t="s">
        <v>18</v>
      </c>
      <c r="G50" s="4" t="str">
        <f>_xlfn.XLOOKUP(Tableau2[[#This Row],[Catégorie]],Listes!C:C,Listes!D:D)</f>
        <v>Charges variables</v>
      </c>
      <c r="H50" s="4" t="str">
        <f>_xlfn.XLOOKUP(Tableau2[[#This Row],[Ressource / dépense]],Listes!D:D,Listes!E:E)</f>
        <v>Décaissement</v>
      </c>
      <c r="I50" s="4" t="s">
        <v>3</v>
      </c>
      <c r="J50" s="4"/>
      <c r="K50" s="4"/>
      <c r="L50" s="4"/>
    </row>
    <row r="51" spans="1:12" x14ac:dyDescent="0.35">
      <c r="A51" s="5">
        <v>46011</v>
      </c>
      <c r="B51" s="4">
        <v>2025</v>
      </c>
      <c r="C51" s="5" t="str">
        <f t="shared" si="1"/>
        <v>décembre</v>
      </c>
      <c r="D51" s="4" t="s">
        <v>106</v>
      </c>
      <c r="E51" s="6">
        <v>500</v>
      </c>
      <c r="F51" s="6" t="s">
        <v>66</v>
      </c>
      <c r="G51" s="4" t="str">
        <f>_xlfn.XLOOKUP(Tableau2[[#This Row],[Catégorie]],Listes!C:C,Listes!D:D)</f>
        <v>Charges variables</v>
      </c>
      <c r="H51" s="4" t="str">
        <f>_xlfn.XLOOKUP(Tableau2[[#This Row],[Ressource / dépense]],Listes!D:D,Listes!E:E)</f>
        <v>Décaissement</v>
      </c>
      <c r="I51" s="4" t="s">
        <v>3</v>
      </c>
      <c r="J51" s="4"/>
      <c r="K51" s="4"/>
      <c r="L51" s="4"/>
    </row>
    <row r="52" spans="1:12" x14ac:dyDescent="0.35">
      <c r="A52" s="5">
        <v>46027</v>
      </c>
      <c r="B52" s="4">
        <v>2025</v>
      </c>
      <c r="C52" s="5" t="str">
        <f t="shared" si="1"/>
        <v>janvier</v>
      </c>
      <c r="D52" s="4" t="s">
        <v>32</v>
      </c>
      <c r="E52" s="6">
        <v>500</v>
      </c>
      <c r="F52" s="6" t="s">
        <v>19</v>
      </c>
      <c r="G52" s="4" t="str">
        <f>_xlfn.XLOOKUP(Tableau2[[#This Row],[Catégorie]],Listes!C:C,Listes!D:D)</f>
        <v>Charges variables</v>
      </c>
      <c r="H52" s="4" t="str">
        <f>_xlfn.XLOOKUP(Tableau2[[#This Row],[Ressource / dépense]],Listes!D:D,Listes!E:E)</f>
        <v>Décaissement</v>
      </c>
      <c r="I52" s="4" t="s">
        <v>3</v>
      </c>
      <c r="J52" s="4"/>
      <c r="K52" s="4"/>
      <c r="L52" s="4"/>
    </row>
    <row r="53" spans="1:12" x14ac:dyDescent="0.35">
      <c r="A53" s="5">
        <v>46017</v>
      </c>
      <c r="B53" s="4">
        <v>2025</v>
      </c>
      <c r="C53" s="5" t="str">
        <f t="shared" si="1"/>
        <v>décembre</v>
      </c>
      <c r="D53" s="4" t="s">
        <v>37</v>
      </c>
      <c r="E53" s="6">
        <v>2000</v>
      </c>
      <c r="F53" s="6" t="s">
        <v>13</v>
      </c>
      <c r="G53" s="4" t="str">
        <f>_xlfn.XLOOKUP(Tableau2[[#This Row],[Catégorie]],Listes!C:C,Listes!D:D)</f>
        <v>Charges fixes</v>
      </c>
      <c r="H53" s="4" t="str">
        <f>_xlfn.XLOOKUP(Tableau2[[#This Row],[Ressource / dépense]],Listes!D:D,Listes!E:E)</f>
        <v>Décaissement</v>
      </c>
      <c r="I53" s="4" t="s">
        <v>0</v>
      </c>
      <c r="J53" s="4"/>
      <c r="K53" s="4"/>
      <c r="L53" s="4"/>
    </row>
    <row r="54" spans="1:12" x14ac:dyDescent="0.35">
      <c r="A54" s="5">
        <v>46017</v>
      </c>
      <c r="B54" s="4">
        <v>2025</v>
      </c>
      <c r="C54" s="5" t="str">
        <f t="shared" si="1"/>
        <v>décembre</v>
      </c>
      <c r="D54" s="4" t="s">
        <v>37</v>
      </c>
      <c r="E54" s="6">
        <v>2000</v>
      </c>
      <c r="F54" s="6" t="s">
        <v>13</v>
      </c>
      <c r="G54" s="4" t="str">
        <f>_xlfn.XLOOKUP(Tableau2[[#This Row],[Catégorie]],Listes!C:C,Listes!D:D)</f>
        <v>Charges fixes</v>
      </c>
      <c r="H54" s="4" t="str">
        <f>_xlfn.XLOOKUP(Tableau2[[#This Row],[Ressource / dépense]],Listes!D:D,Listes!E:E)</f>
        <v>Décaissement</v>
      </c>
      <c r="I54" s="4" t="s">
        <v>1</v>
      </c>
      <c r="J54" s="4"/>
      <c r="K54" s="4"/>
      <c r="L54" s="4"/>
    </row>
  </sheetData>
  <pageMargins left="0.7" right="0.7" top="0.75" bottom="0.75" header="0.3" footer="0.3"/>
  <pageSetup paperSize="9" orientation="portrait" r:id="rId1"/>
  <ignoredErrors>
    <ignoredError sqref="G1:H1 F1:F1048576" listDataValidation="1"/>
  </ignoredErrors>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07BEBBEB-C92B-4557-8321-6FB3E0E486EF}">
          <x14:formula1>
            <xm:f>Listes!$A$11:$A$13</xm:f>
          </x14:formula1>
          <xm:sqref>G1:G1048576</xm:sqref>
        </x14:dataValidation>
        <x14:dataValidation type="list" allowBlank="1" showInputMessage="1" showErrorMessage="1" xr:uid="{6CDB355B-6AA9-4157-A5C3-40A83B53F9DA}">
          <x14:formula1>
            <xm:f>Listes!$A$16:$A$17</xm:f>
          </x14:formula1>
          <xm:sqref>H1:H1048576</xm:sqref>
        </x14:dataValidation>
        <x14:dataValidation type="list" allowBlank="1" showInputMessage="1" showErrorMessage="1" xr:uid="{6D1B1511-0D3C-4E0F-9E53-D43CFBD2DA4D}">
          <x14:formula1>
            <xm:f>Listes!$A$2:$A$8</xm:f>
          </x14:formula1>
          <xm:sqref>I2:I1048576</xm:sqref>
        </x14:dataValidation>
        <x14:dataValidation type="list" allowBlank="1" showInputMessage="1" showErrorMessage="1" xr:uid="{E7D41B04-F497-4F34-9D96-6E1F039C658D}">
          <x14:formula1>
            <xm:f>Listes!$C$2:$C$1048576</xm:f>
          </x14:formula1>
          <xm:sqref>F1:F1048576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A8803-302D-4D31-93EA-B573C18156C7}">
  <dimension ref="A1:N51"/>
  <sheetViews>
    <sheetView zoomScale="80" zoomScaleNormal="80" workbookViewId="0">
      <selection activeCell="D1" sqref="D1"/>
    </sheetView>
  </sheetViews>
  <sheetFormatPr baseColWidth="10" defaultRowHeight="14.5" x14ac:dyDescent="0.35"/>
  <cols>
    <col min="1" max="1" width="20.54296875" bestFit="1" customWidth="1"/>
    <col min="2" max="2" width="23.36328125" bestFit="1" customWidth="1"/>
    <col min="3" max="4" width="11" bestFit="1" customWidth="1"/>
    <col min="5" max="6" width="9.54296875" bestFit="1" customWidth="1"/>
    <col min="7" max="7" width="12" bestFit="1" customWidth="1"/>
    <col min="8" max="8" width="9.54296875" bestFit="1" customWidth="1"/>
    <col min="9" max="9" width="11" bestFit="1" customWidth="1"/>
    <col min="10" max="12" width="9.54296875" bestFit="1" customWidth="1"/>
    <col min="13" max="13" width="12" bestFit="1" customWidth="1"/>
    <col min="14" max="14" width="18.26953125" bestFit="1" customWidth="1"/>
    <col min="15" max="15" width="17.26953125" bestFit="1" customWidth="1"/>
    <col min="16" max="16" width="17.81640625" bestFit="1" customWidth="1"/>
    <col min="17" max="17" width="17.26953125" bestFit="1" customWidth="1"/>
    <col min="18" max="18" width="17.81640625" bestFit="1" customWidth="1"/>
    <col min="19" max="19" width="17.26953125" bestFit="1" customWidth="1"/>
  </cols>
  <sheetData>
    <row r="1" spans="1:14" x14ac:dyDescent="0.35">
      <c r="A1" s="21" t="s">
        <v>100</v>
      </c>
      <c r="B1" s="1" t="s">
        <v>109</v>
      </c>
    </row>
    <row r="3" spans="1:14" x14ac:dyDescent="0.35">
      <c r="A3" s="21" t="s">
        <v>60</v>
      </c>
      <c r="B3" s="21" t="s">
        <v>68</v>
      </c>
      <c r="C3" s="1"/>
      <c r="D3" s="1"/>
      <c r="E3" s="1"/>
      <c r="F3" s="1"/>
      <c r="G3" s="1"/>
      <c r="H3" s="1"/>
      <c r="I3" s="1"/>
      <c r="J3" s="1"/>
      <c r="K3" s="1"/>
      <c r="L3" s="1"/>
      <c r="M3" s="1"/>
      <c r="N3" s="1"/>
    </row>
    <row r="4" spans="1:14" x14ac:dyDescent="0.35">
      <c r="A4" s="21" t="s">
        <v>49</v>
      </c>
      <c r="B4" s="1" t="s">
        <v>51</v>
      </c>
      <c r="C4" s="1" t="s">
        <v>52</v>
      </c>
      <c r="D4" s="1" t="s">
        <v>90</v>
      </c>
      <c r="E4" s="1" t="s">
        <v>102</v>
      </c>
      <c r="F4" s="1" t="s">
        <v>91</v>
      </c>
      <c r="G4" s="1" t="s">
        <v>53</v>
      </c>
      <c r="H4" s="1" t="s">
        <v>54</v>
      </c>
      <c r="I4" s="1" t="s">
        <v>55</v>
      </c>
      <c r="J4" s="1" t="s">
        <v>56</v>
      </c>
      <c r="K4" s="1" t="s">
        <v>57</v>
      </c>
      <c r="L4" s="1" t="s">
        <v>58</v>
      </c>
      <c r="M4" s="1" t="s">
        <v>59</v>
      </c>
      <c r="N4" s="1" t="s">
        <v>101</v>
      </c>
    </row>
    <row r="5" spans="1:14" x14ac:dyDescent="0.35">
      <c r="A5" s="22" t="s">
        <v>46</v>
      </c>
      <c r="B5" s="20"/>
      <c r="C5" s="20"/>
      <c r="D5" s="20"/>
      <c r="E5" s="20"/>
      <c r="F5" s="20"/>
      <c r="G5" s="20"/>
      <c r="H5" s="20"/>
      <c r="I5" s="20"/>
      <c r="J5" s="20"/>
      <c r="K5" s="20"/>
      <c r="L5" s="20"/>
      <c r="M5" s="20"/>
      <c r="N5" s="20"/>
    </row>
    <row r="6" spans="1:14" x14ac:dyDescent="0.35">
      <c r="A6" s="23" t="s">
        <v>0</v>
      </c>
      <c r="B6" s="20">
        <v>52000</v>
      </c>
      <c r="C6" s="20"/>
      <c r="D6" s="20">
        <v>2000</v>
      </c>
      <c r="E6" s="20"/>
      <c r="F6" s="20">
        <v>800</v>
      </c>
      <c r="G6" s="20"/>
      <c r="H6" s="20"/>
      <c r="I6" s="20"/>
      <c r="J6" s="20"/>
      <c r="K6" s="20"/>
      <c r="L6" s="20"/>
      <c r="M6" s="20"/>
      <c r="N6" s="20">
        <v>54800</v>
      </c>
    </row>
    <row r="7" spans="1:14" x14ac:dyDescent="0.35">
      <c r="A7" s="23" t="s">
        <v>1</v>
      </c>
      <c r="B7" s="20">
        <v>59000</v>
      </c>
      <c r="C7" s="20"/>
      <c r="D7" s="20"/>
      <c r="E7" s="20"/>
      <c r="F7" s="20"/>
      <c r="G7" s="20"/>
      <c r="H7" s="20"/>
      <c r="I7" s="20"/>
      <c r="J7" s="20"/>
      <c r="K7" s="20"/>
      <c r="L7" s="20"/>
      <c r="M7" s="20"/>
      <c r="N7" s="20">
        <v>59000</v>
      </c>
    </row>
    <row r="8" spans="1:14" x14ac:dyDescent="0.35">
      <c r="A8" s="23" t="s">
        <v>2</v>
      </c>
      <c r="B8" s="20">
        <v>40000</v>
      </c>
      <c r="C8" s="20"/>
      <c r="D8" s="20"/>
      <c r="E8" s="20"/>
      <c r="F8" s="20"/>
      <c r="G8" s="20"/>
      <c r="H8" s="20"/>
      <c r="I8" s="20"/>
      <c r="J8" s="20"/>
      <c r="K8" s="20"/>
      <c r="L8" s="20"/>
      <c r="M8" s="20"/>
      <c r="N8" s="20">
        <v>40000</v>
      </c>
    </row>
    <row r="9" spans="1:14" x14ac:dyDescent="0.35">
      <c r="A9" s="23" t="s">
        <v>3</v>
      </c>
      <c r="B9" s="20">
        <v>10000</v>
      </c>
      <c r="C9" s="20"/>
      <c r="D9" s="20"/>
      <c r="E9" s="20"/>
      <c r="F9" s="20"/>
      <c r="G9" s="20">
        <v>10000</v>
      </c>
      <c r="H9" s="20"/>
      <c r="I9" s="20"/>
      <c r="J9" s="20"/>
      <c r="K9" s="20"/>
      <c r="L9" s="20"/>
      <c r="M9" s="20"/>
      <c r="N9" s="20">
        <v>20000</v>
      </c>
    </row>
    <row r="10" spans="1:14" x14ac:dyDescent="0.35">
      <c r="A10" s="23" t="s">
        <v>4</v>
      </c>
      <c r="B10" s="20">
        <v>25000</v>
      </c>
      <c r="C10" s="20"/>
      <c r="D10" s="20"/>
      <c r="E10" s="20"/>
      <c r="F10" s="20"/>
      <c r="G10" s="20"/>
      <c r="H10" s="20"/>
      <c r="I10" s="20"/>
      <c r="J10" s="20"/>
      <c r="K10" s="20"/>
      <c r="L10" s="20"/>
      <c r="M10" s="20"/>
      <c r="N10" s="20">
        <v>25000</v>
      </c>
    </row>
    <row r="11" spans="1:14" x14ac:dyDescent="0.35">
      <c r="A11" s="23" t="s">
        <v>5</v>
      </c>
      <c r="B11" s="20">
        <v>7500</v>
      </c>
      <c r="C11" s="20"/>
      <c r="D11" s="20"/>
      <c r="E11" s="20"/>
      <c r="F11" s="20"/>
      <c r="G11" s="20"/>
      <c r="H11" s="20"/>
      <c r="I11" s="20"/>
      <c r="J11" s="20"/>
      <c r="K11" s="20"/>
      <c r="L11" s="20"/>
      <c r="M11" s="20"/>
      <c r="N11" s="20">
        <v>7500</v>
      </c>
    </row>
    <row r="12" spans="1:14" x14ac:dyDescent="0.35">
      <c r="A12" s="23" t="s">
        <v>6</v>
      </c>
      <c r="B12" s="20">
        <v>5000</v>
      </c>
      <c r="C12" s="20"/>
      <c r="D12" s="20"/>
      <c r="E12" s="20"/>
      <c r="F12" s="20"/>
      <c r="G12" s="20"/>
      <c r="H12" s="20"/>
      <c r="I12" s="20"/>
      <c r="J12" s="20"/>
      <c r="K12" s="20"/>
      <c r="L12" s="20"/>
      <c r="M12" s="20"/>
      <c r="N12" s="20">
        <v>5000</v>
      </c>
    </row>
    <row r="13" spans="1:14" x14ac:dyDescent="0.35">
      <c r="A13" s="22" t="s">
        <v>70</v>
      </c>
      <c r="B13" s="20">
        <v>198500</v>
      </c>
      <c r="C13" s="20"/>
      <c r="D13" s="20">
        <v>2000</v>
      </c>
      <c r="E13" s="20"/>
      <c r="F13" s="20">
        <v>800</v>
      </c>
      <c r="G13" s="20">
        <v>10000</v>
      </c>
      <c r="H13" s="20"/>
      <c r="I13" s="20"/>
      <c r="J13" s="20"/>
      <c r="K13" s="20"/>
      <c r="L13" s="20"/>
      <c r="M13" s="20"/>
      <c r="N13" s="20">
        <v>211300</v>
      </c>
    </row>
    <row r="14" spans="1:14" x14ac:dyDescent="0.35">
      <c r="A14" s="22" t="s">
        <v>47</v>
      </c>
      <c r="B14" s="20"/>
      <c r="C14" s="20"/>
      <c r="D14" s="20"/>
      <c r="E14" s="20"/>
      <c r="F14" s="20"/>
      <c r="G14" s="20"/>
      <c r="H14" s="20"/>
      <c r="I14" s="20"/>
      <c r="J14" s="20"/>
      <c r="K14" s="20"/>
      <c r="L14" s="20"/>
      <c r="M14" s="20"/>
      <c r="N14" s="20"/>
    </row>
    <row r="15" spans="1:14" x14ac:dyDescent="0.35">
      <c r="A15" s="23" t="s">
        <v>0</v>
      </c>
      <c r="B15" s="20">
        <v>1700</v>
      </c>
      <c r="C15" s="20">
        <v>700</v>
      </c>
      <c r="D15" s="20"/>
      <c r="E15" s="20">
        <v>500</v>
      </c>
      <c r="F15" s="20">
        <v>150</v>
      </c>
      <c r="G15" s="20">
        <v>600</v>
      </c>
      <c r="H15" s="20">
        <v>150</v>
      </c>
      <c r="I15" s="20">
        <v>5350</v>
      </c>
      <c r="J15" s="20">
        <v>850</v>
      </c>
      <c r="K15" s="20"/>
      <c r="L15" s="20"/>
      <c r="M15" s="20">
        <v>5100</v>
      </c>
      <c r="N15" s="20">
        <v>15100</v>
      </c>
    </row>
    <row r="16" spans="1:14" x14ac:dyDescent="0.35">
      <c r="A16" s="23" t="s">
        <v>1</v>
      </c>
      <c r="B16" s="20">
        <v>500</v>
      </c>
      <c r="C16" s="20"/>
      <c r="D16" s="20"/>
      <c r="E16" s="20"/>
      <c r="F16" s="20"/>
      <c r="G16" s="20"/>
      <c r="H16" s="20"/>
      <c r="I16" s="20"/>
      <c r="J16" s="20"/>
      <c r="K16" s="20"/>
      <c r="L16" s="20">
        <v>800</v>
      </c>
      <c r="M16" s="20">
        <v>5000</v>
      </c>
      <c r="N16" s="20">
        <v>6300</v>
      </c>
    </row>
    <row r="17" spans="1:14" x14ac:dyDescent="0.35">
      <c r="A17" s="23" t="s">
        <v>2</v>
      </c>
      <c r="B17" s="20">
        <v>500</v>
      </c>
      <c r="C17" s="20"/>
      <c r="D17" s="20"/>
      <c r="E17" s="20"/>
      <c r="F17" s="20"/>
      <c r="G17" s="20"/>
      <c r="H17" s="20">
        <v>50</v>
      </c>
      <c r="I17" s="20"/>
      <c r="J17" s="20"/>
      <c r="K17" s="20"/>
      <c r="L17" s="20"/>
      <c r="M17" s="20">
        <v>1000</v>
      </c>
      <c r="N17" s="20">
        <v>1550</v>
      </c>
    </row>
    <row r="18" spans="1:14" x14ac:dyDescent="0.35">
      <c r="A18" s="23" t="s">
        <v>3</v>
      </c>
      <c r="B18" s="20">
        <v>1000</v>
      </c>
      <c r="C18" s="20"/>
      <c r="D18" s="20"/>
      <c r="E18" s="20"/>
      <c r="F18" s="20"/>
      <c r="G18" s="20"/>
      <c r="H18" s="20"/>
      <c r="I18" s="20"/>
      <c r="J18" s="20"/>
      <c r="K18" s="20">
        <v>600</v>
      </c>
      <c r="L18" s="20"/>
      <c r="M18" s="20">
        <v>1400</v>
      </c>
      <c r="N18" s="20">
        <v>3000</v>
      </c>
    </row>
    <row r="19" spans="1:14" x14ac:dyDescent="0.35">
      <c r="A19" s="23" t="s">
        <v>4</v>
      </c>
      <c r="B19" s="20">
        <v>3000</v>
      </c>
      <c r="C19" s="20"/>
      <c r="D19" s="20"/>
      <c r="E19" s="20"/>
      <c r="F19" s="20"/>
      <c r="G19" s="20"/>
      <c r="H19" s="20"/>
      <c r="I19" s="20"/>
      <c r="J19" s="20"/>
      <c r="K19" s="20"/>
      <c r="L19" s="20"/>
      <c r="M19" s="20"/>
      <c r="N19" s="20">
        <v>3000</v>
      </c>
    </row>
    <row r="20" spans="1:14" x14ac:dyDescent="0.35">
      <c r="A20" s="23" t="s">
        <v>5</v>
      </c>
      <c r="B20" s="20"/>
      <c r="C20" s="20">
        <v>300</v>
      </c>
      <c r="D20" s="20"/>
      <c r="E20" s="20"/>
      <c r="F20" s="20"/>
      <c r="G20" s="20"/>
      <c r="H20" s="20"/>
      <c r="I20" s="20"/>
      <c r="J20" s="20"/>
      <c r="K20" s="20"/>
      <c r="L20" s="20"/>
      <c r="M20" s="20"/>
      <c r="N20" s="20">
        <v>300</v>
      </c>
    </row>
    <row r="21" spans="1:14" x14ac:dyDescent="0.35">
      <c r="A21" s="23" t="s">
        <v>6</v>
      </c>
      <c r="B21" s="20"/>
      <c r="C21" s="20">
        <v>1200</v>
      </c>
      <c r="D21" s="20"/>
      <c r="E21" s="20"/>
      <c r="F21" s="20"/>
      <c r="G21" s="20"/>
      <c r="H21" s="20"/>
      <c r="I21" s="20"/>
      <c r="J21" s="20"/>
      <c r="K21" s="20"/>
      <c r="L21" s="20"/>
      <c r="M21" s="20"/>
      <c r="N21" s="20">
        <v>1200</v>
      </c>
    </row>
    <row r="22" spans="1:14" x14ac:dyDescent="0.35">
      <c r="A22" s="22" t="s">
        <v>69</v>
      </c>
      <c r="B22" s="20">
        <v>6700</v>
      </c>
      <c r="C22" s="20">
        <v>2200</v>
      </c>
      <c r="D22" s="20"/>
      <c r="E22" s="20">
        <v>500</v>
      </c>
      <c r="F22" s="20">
        <v>150</v>
      </c>
      <c r="G22" s="20">
        <v>600</v>
      </c>
      <c r="H22" s="20">
        <v>200</v>
      </c>
      <c r="I22" s="20">
        <v>5350</v>
      </c>
      <c r="J22" s="20">
        <v>850</v>
      </c>
      <c r="K22" s="20">
        <v>600</v>
      </c>
      <c r="L22" s="20">
        <v>800</v>
      </c>
      <c r="M22" s="20">
        <v>12500</v>
      </c>
      <c r="N22" s="20">
        <v>30450</v>
      </c>
    </row>
    <row r="23" spans="1:14" x14ac:dyDescent="0.35">
      <c r="A23" s="25" t="s">
        <v>61</v>
      </c>
      <c r="B23" s="26">
        <f>GETPIVOTDATA("Montant",$A$1,"Type","Encaissement","Mois (Date)",1)-GETPIVOTDATA("Montant",$A$1,"Type","Décaissement","Mois (Date)",1)</f>
        <v>191800</v>
      </c>
      <c r="C23" s="26">
        <f>GETPIVOTDATA("Montant",$A$1,"Type","Encaissement","Mois (Date)",2)-GETPIVOTDATA("Montant",$A$1,"Type","Décaissement","Mois (Date)",2)</f>
        <v>-2200</v>
      </c>
      <c r="D23" s="26">
        <f>GETPIVOTDATA("Montant",$A$1,"Type","Encaissement","Mois (Date)",3)-GETPIVOTDATA("Montant",$A$1,"Type","Décaissement","Mois (Date)",3)</f>
        <v>2000</v>
      </c>
      <c r="E23" s="26">
        <f>GETPIVOTDATA("Montant",$A$1,"Type","Encaissement","Mois (Date)",4)-GETPIVOTDATA("Montant",$A$1,"Type","Décaissement","Mois (Date)",4)</f>
        <v>-500</v>
      </c>
      <c r="F23" s="26">
        <f>GETPIVOTDATA("Montant",$A$1,"Type","Encaissement","Mois (Date)",5)-GETPIVOTDATA("Montant",$A$1,"Type","Décaissement","Mois (Date)",5)</f>
        <v>650</v>
      </c>
      <c r="G23" s="26">
        <f>GETPIVOTDATA("Montant",$A$1,"Type","Encaissement","Mois (Date)",6)-GETPIVOTDATA("Montant",$A$1,"Type","Décaissement","Mois (Date)",6)</f>
        <v>9400</v>
      </c>
      <c r="H23" s="26">
        <f>GETPIVOTDATA("Montant",$A$1,"Type","Encaissement","Mois (Date)",7)-GETPIVOTDATA("Montant",$A$1,"Type","Décaissement","Mois (Date)",7)</f>
        <v>-200</v>
      </c>
      <c r="I23" s="26">
        <f>GETPIVOTDATA("Montant",$A$1,"Type","Encaissement","Mois (Date)",8)-GETPIVOTDATA("Montant",$A$1,"Type","Décaissement","Mois (Date)",8)</f>
        <v>-5350</v>
      </c>
      <c r="J23" s="26">
        <f>GETPIVOTDATA("Montant",$A$1,"Type","Encaissement","Mois (Date)",9)-GETPIVOTDATA("Montant",$A$1,"Type","Décaissement","Mois (Date)",9)</f>
        <v>-850</v>
      </c>
      <c r="K23" s="26">
        <f>GETPIVOTDATA("Montant",$A$1,"Type","Encaissement","Mois (Date)",10)-GETPIVOTDATA("Montant",$A$1,"Type","Décaissement","Mois (Date)",10)</f>
        <v>-600</v>
      </c>
      <c r="L23" s="26">
        <f>GETPIVOTDATA("Montant",$A$1,"Type","Encaissement","Mois (Date)",11)-GETPIVOTDATA("Montant",$A$1,"Type","Décaissement","Mois (Date)",11)</f>
        <v>-800</v>
      </c>
    </row>
    <row r="24" spans="1:14" x14ac:dyDescent="0.35">
      <c r="A24" s="27" t="s">
        <v>62</v>
      </c>
      <c r="B24" s="3">
        <f>B23</f>
        <v>191800</v>
      </c>
      <c r="C24" s="3">
        <f>B24+C23</f>
        <v>189600</v>
      </c>
      <c r="D24" s="3">
        <f t="shared" ref="D24:J24" si="0">C24+D23</f>
        <v>191600</v>
      </c>
      <c r="E24" s="3">
        <f t="shared" si="0"/>
        <v>191100</v>
      </c>
      <c r="F24" s="3">
        <f t="shared" si="0"/>
        <v>191750</v>
      </c>
      <c r="G24" s="3">
        <f t="shared" si="0"/>
        <v>201150</v>
      </c>
      <c r="H24" s="3">
        <f t="shared" si="0"/>
        <v>200950</v>
      </c>
      <c r="I24" s="3">
        <f t="shared" si="0"/>
        <v>195600</v>
      </c>
      <c r="J24" s="3">
        <f t="shared" si="0"/>
        <v>194750</v>
      </c>
      <c r="K24" s="26">
        <f t="shared" ref="K24" si="1">J24+K23</f>
        <v>194150</v>
      </c>
      <c r="L24" s="26">
        <f>K24+L23</f>
        <v>193350</v>
      </c>
    </row>
    <row r="51" spans="13:13" x14ac:dyDescent="0.35">
      <c r="M51" s="30"/>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8F717-5157-475F-A71A-E7C6F7F64F4D}">
  <dimension ref="A1:K36"/>
  <sheetViews>
    <sheetView zoomScale="90" zoomScaleNormal="90" workbookViewId="0">
      <selection activeCell="A5" sqref="A5"/>
    </sheetView>
  </sheetViews>
  <sheetFormatPr baseColWidth="10" defaultRowHeight="14.5" x14ac:dyDescent="0.35"/>
  <cols>
    <col min="1" max="1" width="33.26953125" bestFit="1" customWidth="1"/>
    <col min="2" max="2" width="22.90625" bestFit="1" customWidth="1"/>
    <col min="3" max="6" width="11.7265625" bestFit="1" customWidth="1"/>
    <col min="7" max="8" width="10.7265625" bestFit="1" customWidth="1"/>
    <col min="9" max="9" width="12.7265625" bestFit="1" customWidth="1"/>
    <col min="10" max="10" width="11.54296875" bestFit="1" customWidth="1"/>
    <col min="11" max="11" width="11.54296875" customWidth="1"/>
    <col min="12" max="12" width="11.54296875" bestFit="1" customWidth="1"/>
    <col min="13" max="14" width="10.54296875" bestFit="1" customWidth="1"/>
    <col min="15" max="15" width="17.26953125" bestFit="1" customWidth="1"/>
    <col min="16" max="16" width="12.54296875" bestFit="1" customWidth="1"/>
    <col min="17" max="17" width="13.6328125" bestFit="1" customWidth="1"/>
    <col min="18" max="18" width="12.81640625" bestFit="1" customWidth="1"/>
    <col min="19" max="19" width="12.54296875" bestFit="1" customWidth="1"/>
    <col min="20" max="20" width="13.6328125" bestFit="1" customWidth="1"/>
    <col min="21" max="21" width="12.54296875" bestFit="1" customWidth="1"/>
  </cols>
  <sheetData>
    <row r="1" spans="1:11" x14ac:dyDescent="0.35">
      <c r="A1" s="21" t="s">
        <v>100</v>
      </c>
      <c r="B1" s="1" t="s">
        <v>109</v>
      </c>
    </row>
    <row r="3" spans="1:11" x14ac:dyDescent="0.35">
      <c r="A3" s="21" t="s">
        <v>60</v>
      </c>
      <c r="B3" s="21" t="s">
        <v>68</v>
      </c>
      <c r="C3" s="1"/>
      <c r="D3" s="1"/>
      <c r="E3" s="1"/>
      <c r="F3" s="1"/>
      <c r="G3" s="1"/>
      <c r="H3" s="1"/>
      <c r="I3" s="1"/>
    </row>
    <row r="4" spans="1:11" x14ac:dyDescent="0.35">
      <c r="A4" s="21" t="s">
        <v>49</v>
      </c>
      <c r="B4" s="1" t="s">
        <v>0</v>
      </c>
      <c r="C4" s="1" t="s">
        <v>1</v>
      </c>
      <c r="D4" s="1" t="s">
        <v>2</v>
      </c>
      <c r="E4" s="1" t="s">
        <v>3</v>
      </c>
      <c r="F4" s="1" t="s">
        <v>4</v>
      </c>
      <c r="G4" s="1" t="s">
        <v>5</v>
      </c>
      <c r="H4" s="1" t="s">
        <v>6</v>
      </c>
      <c r="I4" s="1" t="s">
        <v>50</v>
      </c>
    </row>
    <row r="5" spans="1:11" x14ac:dyDescent="0.35">
      <c r="A5" s="22" t="s">
        <v>10</v>
      </c>
      <c r="B5" s="20"/>
      <c r="C5" s="20"/>
      <c r="D5" s="20"/>
      <c r="E5" s="20"/>
      <c r="F5" s="20"/>
      <c r="G5" s="20"/>
      <c r="H5" s="20"/>
      <c r="I5" s="20"/>
    </row>
    <row r="6" spans="1:11" x14ac:dyDescent="0.35">
      <c r="A6" s="23" t="s">
        <v>7</v>
      </c>
      <c r="B6" s="20">
        <v>50000</v>
      </c>
      <c r="C6" s="20">
        <v>55000</v>
      </c>
      <c r="D6" s="20">
        <v>25000</v>
      </c>
      <c r="E6" s="20">
        <v>10000</v>
      </c>
      <c r="F6" s="20">
        <v>25000</v>
      </c>
      <c r="G6" s="20">
        <v>7500</v>
      </c>
      <c r="H6" s="20">
        <v>5000</v>
      </c>
      <c r="I6" s="20">
        <v>177500</v>
      </c>
    </row>
    <row r="7" spans="1:11" x14ac:dyDescent="0.35">
      <c r="A7" s="23" t="s">
        <v>8</v>
      </c>
      <c r="B7" s="20"/>
      <c r="C7" s="20"/>
      <c r="D7" s="20">
        <v>15000</v>
      </c>
      <c r="E7" s="20"/>
      <c r="F7" s="20"/>
      <c r="G7" s="20"/>
      <c r="H7" s="20"/>
      <c r="I7" s="20">
        <v>15000</v>
      </c>
    </row>
    <row r="8" spans="1:11" x14ac:dyDescent="0.35">
      <c r="A8" s="23" t="s">
        <v>11</v>
      </c>
      <c r="B8" s="20"/>
      <c r="C8" s="20"/>
      <c r="D8" s="20"/>
      <c r="E8" s="20">
        <v>10000</v>
      </c>
      <c r="F8" s="20"/>
      <c r="G8" s="20"/>
      <c r="H8" s="20"/>
      <c r="I8" s="20">
        <v>10000</v>
      </c>
    </row>
    <row r="9" spans="1:11" x14ac:dyDescent="0.35">
      <c r="A9" s="23" t="s">
        <v>9</v>
      </c>
      <c r="B9" s="20"/>
      <c r="C9" s="20">
        <v>4000</v>
      </c>
      <c r="D9" s="20"/>
      <c r="E9" s="20"/>
      <c r="F9" s="20"/>
      <c r="G9" s="20"/>
      <c r="H9" s="20"/>
      <c r="I9" s="20">
        <v>4000</v>
      </c>
    </row>
    <row r="10" spans="1:11" x14ac:dyDescent="0.35">
      <c r="A10" s="23" t="s">
        <v>77</v>
      </c>
      <c r="B10" s="20">
        <v>2000</v>
      </c>
      <c r="C10" s="20"/>
      <c r="D10" s="20"/>
      <c r="E10" s="20"/>
      <c r="F10" s="20"/>
      <c r="G10" s="20"/>
      <c r="H10" s="20"/>
      <c r="I10" s="20">
        <v>2000</v>
      </c>
    </row>
    <row r="11" spans="1:11" x14ac:dyDescent="0.35">
      <c r="A11" s="23" t="s">
        <v>12</v>
      </c>
      <c r="B11" s="20">
        <v>2000</v>
      </c>
      <c r="C11" s="20"/>
      <c r="D11" s="20"/>
      <c r="E11" s="20"/>
      <c r="F11" s="20"/>
      <c r="G11" s="20"/>
      <c r="H11" s="20"/>
      <c r="I11" s="20">
        <v>2000</v>
      </c>
    </row>
    <row r="12" spans="1:11" x14ac:dyDescent="0.35">
      <c r="A12" s="23" t="s">
        <v>76</v>
      </c>
      <c r="B12" s="20">
        <v>800</v>
      </c>
      <c r="C12" s="20"/>
      <c r="D12" s="20"/>
      <c r="E12" s="20"/>
      <c r="F12" s="20"/>
      <c r="G12" s="20"/>
      <c r="H12" s="20"/>
      <c r="I12" s="20">
        <v>800</v>
      </c>
    </row>
    <row r="13" spans="1:11" x14ac:dyDescent="0.35">
      <c r="A13" s="22" t="s">
        <v>83</v>
      </c>
      <c r="B13" s="20">
        <v>54800</v>
      </c>
      <c r="C13" s="20">
        <v>59000</v>
      </c>
      <c r="D13" s="20">
        <v>40000</v>
      </c>
      <c r="E13" s="20">
        <v>20000</v>
      </c>
      <c r="F13" s="20">
        <v>25000</v>
      </c>
      <c r="G13" s="20">
        <v>7500</v>
      </c>
      <c r="H13" s="20">
        <v>5000</v>
      </c>
      <c r="I13" s="20">
        <v>211300</v>
      </c>
    </row>
    <row r="14" spans="1:11" x14ac:dyDescent="0.35">
      <c r="A14" s="22" t="s">
        <v>16</v>
      </c>
      <c r="B14" s="20"/>
      <c r="C14" s="20"/>
      <c r="D14" s="20"/>
      <c r="E14" s="20"/>
      <c r="F14" s="20"/>
      <c r="G14" s="20"/>
      <c r="H14" s="20"/>
      <c r="I14" s="20"/>
    </row>
    <row r="15" spans="1:11" x14ac:dyDescent="0.35">
      <c r="A15" s="23" t="s">
        <v>13</v>
      </c>
      <c r="B15" s="20">
        <v>5000</v>
      </c>
      <c r="C15" s="20">
        <v>5000</v>
      </c>
      <c r="D15" s="20">
        <v>1000</v>
      </c>
      <c r="E15" s="20"/>
      <c r="F15" s="20"/>
      <c r="G15" s="20"/>
      <c r="H15" s="20"/>
      <c r="I15" s="20">
        <v>11000</v>
      </c>
      <c r="K15" s="29"/>
    </row>
    <row r="16" spans="1:11" x14ac:dyDescent="0.35">
      <c r="A16" s="23" t="s">
        <v>15</v>
      </c>
      <c r="B16" s="20">
        <v>1500</v>
      </c>
      <c r="C16" s="20"/>
      <c r="D16" s="20"/>
      <c r="E16" s="20"/>
      <c r="F16" s="20"/>
      <c r="G16" s="20"/>
      <c r="H16" s="20"/>
      <c r="I16" s="20">
        <v>1500</v>
      </c>
      <c r="K16" s="29"/>
    </row>
    <row r="17" spans="1:11" x14ac:dyDescent="0.35">
      <c r="A17" s="23" t="s">
        <v>14</v>
      </c>
      <c r="B17" s="20">
        <v>1400</v>
      </c>
      <c r="C17" s="20"/>
      <c r="D17" s="20"/>
      <c r="E17" s="20"/>
      <c r="F17" s="20"/>
      <c r="G17" s="20"/>
      <c r="H17" s="20"/>
      <c r="I17" s="20">
        <v>1400</v>
      </c>
      <c r="K17" s="29"/>
    </row>
    <row r="18" spans="1:11" x14ac:dyDescent="0.35">
      <c r="A18" s="23" t="s">
        <v>73</v>
      </c>
      <c r="B18" s="20">
        <v>200</v>
      </c>
      <c r="C18" s="20"/>
      <c r="D18" s="20"/>
      <c r="E18" s="20"/>
      <c r="F18" s="20"/>
      <c r="G18" s="20"/>
      <c r="H18" s="20"/>
      <c r="I18" s="20">
        <v>200</v>
      </c>
      <c r="K18" s="29"/>
    </row>
    <row r="19" spans="1:11" x14ac:dyDescent="0.35">
      <c r="A19" s="23" t="s">
        <v>72</v>
      </c>
      <c r="B19" s="20">
        <v>50</v>
      </c>
      <c r="C19" s="20"/>
      <c r="D19" s="20"/>
      <c r="E19" s="20"/>
      <c r="F19" s="20"/>
      <c r="G19" s="20"/>
      <c r="H19" s="20"/>
      <c r="I19" s="20">
        <v>50</v>
      </c>
      <c r="K19" s="29"/>
    </row>
    <row r="20" spans="1:11" x14ac:dyDescent="0.35">
      <c r="A20" s="22" t="s">
        <v>84</v>
      </c>
      <c r="B20" s="20">
        <v>8150</v>
      </c>
      <c r="C20" s="20">
        <v>5000</v>
      </c>
      <c r="D20" s="20">
        <v>1000</v>
      </c>
      <c r="E20" s="20"/>
      <c r="F20" s="20"/>
      <c r="G20" s="20"/>
      <c r="H20" s="20"/>
      <c r="I20" s="20">
        <v>14150</v>
      </c>
      <c r="K20" s="29"/>
    </row>
    <row r="21" spans="1:11" x14ac:dyDescent="0.35">
      <c r="A21" s="22" t="s">
        <v>17</v>
      </c>
      <c r="B21" s="20"/>
      <c r="C21" s="20"/>
      <c r="D21" s="20"/>
      <c r="E21" s="20"/>
      <c r="F21" s="20"/>
      <c r="G21" s="20"/>
      <c r="H21" s="20"/>
      <c r="I21" s="20"/>
      <c r="K21" s="29"/>
    </row>
    <row r="22" spans="1:11" x14ac:dyDescent="0.35">
      <c r="A22" s="23" t="s">
        <v>75</v>
      </c>
      <c r="B22" s="20">
        <v>5000</v>
      </c>
      <c r="C22" s="20"/>
      <c r="D22" s="20"/>
      <c r="E22" s="20"/>
      <c r="F22" s="20"/>
      <c r="G22" s="20"/>
      <c r="H22" s="20"/>
      <c r="I22" s="20">
        <v>5000</v>
      </c>
      <c r="K22" s="29"/>
    </row>
    <row r="23" spans="1:11" x14ac:dyDescent="0.35">
      <c r="A23" s="23" t="s">
        <v>79</v>
      </c>
      <c r="B23" s="20">
        <v>500</v>
      </c>
      <c r="C23" s="20"/>
      <c r="D23" s="20"/>
      <c r="E23" s="20"/>
      <c r="F23" s="20">
        <v>3000</v>
      </c>
      <c r="G23" s="20"/>
      <c r="H23" s="20"/>
      <c r="I23" s="20">
        <v>3500</v>
      </c>
      <c r="K23" s="29"/>
    </row>
    <row r="24" spans="1:11" x14ac:dyDescent="0.35">
      <c r="A24" s="23" t="s">
        <v>66</v>
      </c>
      <c r="B24" s="20">
        <v>200</v>
      </c>
      <c r="C24" s="20">
        <v>1000</v>
      </c>
      <c r="D24" s="20">
        <v>500</v>
      </c>
      <c r="E24" s="20">
        <v>1500</v>
      </c>
      <c r="F24" s="20"/>
      <c r="G24" s="20">
        <v>300</v>
      </c>
      <c r="H24" s="20"/>
      <c r="I24" s="20">
        <v>3500</v>
      </c>
      <c r="K24" s="29"/>
    </row>
    <row r="25" spans="1:11" x14ac:dyDescent="0.35">
      <c r="A25" s="23" t="s">
        <v>19</v>
      </c>
      <c r="B25" s="20">
        <v>250</v>
      </c>
      <c r="C25" s="20"/>
      <c r="D25" s="20"/>
      <c r="E25" s="20">
        <v>1000</v>
      </c>
      <c r="F25" s="20"/>
      <c r="G25" s="20"/>
      <c r="H25" s="20"/>
      <c r="I25" s="20">
        <v>1250</v>
      </c>
      <c r="K25" s="29"/>
    </row>
    <row r="26" spans="1:11" x14ac:dyDescent="0.35">
      <c r="A26" s="23" t="s">
        <v>21</v>
      </c>
      <c r="B26" s="20"/>
      <c r="C26" s="20"/>
      <c r="D26" s="20"/>
      <c r="E26" s="20"/>
      <c r="F26" s="20"/>
      <c r="G26" s="20"/>
      <c r="H26" s="20">
        <v>1200</v>
      </c>
      <c r="I26" s="20">
        <v>1200</v>
      </c>
      <c r="K26" s="29"/>
    </row>
    <row r="27" spans="1:11" x14ac:dyDescent="0.35">
      <c r="A27" s="23" t="s">
        <v>18</v>
      </c>
      <c r="B27" s="20"/>
      <c r="C27" s="20"/>
      <c r="D27" s="20">
        <v>50</v>
      </c>
      <c r="E27" s="20">
        <v>500</v>
      </c>
      <c r="F27" s="20"/>
      <c r="G27" s="20"/>
      <c r="H27" s="20"/>
      <c r="I27" s="20">
        <v>550</v>
      </c>
      <c r="K27" s="29"/>
    </row>
    <row r="28" spans="1:11" x14ac:dyDescent="0.35">
      <c r="A28" s="23" t="s">
        <v>67</v>
      </c>
      <c r="B28" s="20">
        <v>400</v>
      </c>
      <c r="C28" s="20"/>
      <c r="D28" s="20"/>
      <c r="E28" s="20"/>
      <c r="F28" s="20"/>
      <c r="G28" s="20"/>
      <c r="H28" s="20"/>
      <c r="I28" s="20">
        <v>400</v>
      </c>
      <c r="K28" s="29"/>
    </row>
    <row r="29" spans="1:11" x14ac:dyDescent="0.35">
      <c r="A29" s="23" t="s">
        <v>39</v>
      </c>
      <c r="B29" s="20">
        <v>350</v>
      </c>
      <c r="C29" s="20"/>
      <c r="D29" s="20"/>
      <c r="E29" s="20"/>
      <c r="F29" s="20"/>
      <c r="G29" s="20"/>
      <c r="H29" s="20"/>
      <c r="I29" s="20">
        <v>350</v>
      </c>
      <c r="K29" s="29"/>
    </row>
    <row r="30" spans="1:11" x14ac:dyDescent="0.35">
      <c r="A30" s="23" t="s">
        <v>20</v>
      </c>
      <c r="B30" s="20"/>
      <c r="C30" s="20">
        <v>300</v>
      </c>
      <c r="D30" s="20"/>
      <c r="E30" s="20"/>
      <c r="F30" s="20"/>
      <c r="G30" s="20"/>
      <c r="H30" s="20"/>
      <c r="I30" s="20">
        <v>300</v>
      </c>
      <c r="K30" s="29"/>
    </row>
    <row r="31" spans="1:11" x14ac:dyDescent="0.35">
      <c r="A31" s="23" t="s">
        <v>78</v>
      </c>
      <c r="B31" s="20">
        <v>150</v>
      </c>
      <c r="C31" s="20"/>
      <c r="D31" s="20"/>
      <c r="E31" s="20"/>
      <c r="F31" s="20"/>
      <c r="G31" s="20"/>
      <c r="H31" s="20"/>
      <c r="I31" s="20">
        <v>150</v>
      </c>
    </row>
    <row r="32" spans="1:11" x14ac:dyDescent="0.35">
      <c r="A32" s="23" t="s">
        <v>74</v>
      </c>
      <c r="B32" s="20">
        <v>100</v>
      </c>
      <c r="C32" s="20"/>
      <c r="D32" s="20"/>
      <c r="E32" s="20"/>
      <c r="F32" s="20"/>
      <c r="G32" s="20"/>
      <c r="H32" s="20"/>
      <c r="I32" s="20">
        <v>100</v>
      </c>
    </row>
    <row r="33" spans="1:11" x14ac:dyDescent="0.35">
      <c r="A33" s="22" t="s">
        <v>85</v>
      </c>
      <c r="B33" s="20">
        <v>6950</v>
      </c>
      <c r="C33" s="20">
        <v>1300</v>
      </c>
      <c r="D33" s="20">
        <v>550</v>
      </c>
      <c r="E33" s="20">
        <v>3000</v>
      </c>
      <c r="F33" s="20">
        <v>3000</v>
      </c>
      <c r="G33" s="20">
        <v>300</v>
      </c>
      <c r="H33" s="20">
        <v>1200</v>
      </c>
      <c r="I33" s="20">
        <v>16300</v>
      </c>
      <c r="K33" s="29"/>
    </row>
    <row r="35" spans="1:11" x14ac:dyDescent="0.35">
      <c r="A35" s="28" t="s">
        <v>98</v>
      </c>
      <c r="B35" s="2">
        <f>GETPIVOTDATA("Montant",$A$3,"Ressource / dépense","Charges fixes","Enveloppe","Fonctionnement")+GETPIVOTDATA("Montant",$A$3,"Ressource / dépense","Charges variables","Enveloppe","Fonctionnement")</f>
        <v>15100</v>
      </c>
      <c r="C35" s="2">
        <f>GETPIVOTDATA("Montant",$A$3,"Ressource / dépense","Charges fixes","Enveloppe","Mission 1")+GETPIVOTDATA("Montant",$A$3,"Ressource / dépense","Charges variables","Enveloppe","Mission 1")</f>
        <v>6300</v>
      </c>
      <c r="D35" s="2">
        <f>GETPIVOTDATA("Montant",$A$3,"Ressource / dépense","Charges fixes","Enveloppe","Mission 2")+GETPIVOTDATA("Montant",$A$3,"Ressource / dépense","Charges variables","Enveloppe","Mission 2")</f>
        <v>1550</v>
      </c>
      <c r="E35" s="2">
        <f>GETPIVOTDATA("Montant",$A$3,"Ressource / dépense","Charges fixes","Enveloppe","Mission 3")+GETPIVOTDATA("Montant",$A$3,"Ressource / dépense","Charges variables","Enveloppe","Mission 3")</f>
        <v>3000</v>
      </c>
      <c r="F35" s="2">
        <f>GETPIVOTDATA("Montant",$A$3,"Ressource / dépense","Charges fixes","Enveloppe","Mission 4")+GETPIVOTDATA("Montant",$A$3,"Ressource / dépense","Charges variables","Enveloppe","Mission 4")</f>
        <v>3000</v>
      </c>
      <c r="G35" s="2">
        <f>GETPIVOTDATA("Montant",$A$3,"Ressource / dépense","Charges fixes","Enveloppe","Mission 5")+GETPIVOTDATA("Montant",$A$3,"Ressource / dépense","Charges variables","Enveloppe","Mission 5")</f>
        <v>300</v>
      </c>
      <c r="H35" s="2">
        <f>GETPIVOTDATA("Montant",$A$3,"Ressource / dépense","Charges fixes","Enveloppe","Mission 6")+GETPIVOTDATA("Montant",$A$3,"Ressource / dépense","Charges variables","Enveloppe","Mission 6")</f>
        <v>1200</v>
      </c>
      <c r="I35" s="2">
        <f>GETPIVOTDATA("Montant",$A$3,"Ressource / dépense","Charges fixes")+GETPIVOTDATA("Montant",$A$3,"Ressource / dépense","Charges variables")</f>
        <v>30450</v>
      </c>
    </row>
    <row r="36" spans="1:11" x14ac:dyDescent="0.35">
      <c r="A36" s="28" t="s">
        <v>99</v>
      </c>
      <c r="B36" s="2">
        <f>GETPIVOTDATA("Montant",$A$3,"Ressource / dépense","Ressources","Enveloppe","Fonctionnement")-B35</f>
        <v>39700</v>
      </c>
      <c r="C36" s="2">
        <f>GETPIVOTDATA("Montant",$A$3,"Ressource / dépense","Ressources","Enveloppe","Mission 1")-C35</f>
        <v>52700</v>
      </c>
      <c r="D36" s="2">
        <f>GETPIVOTDATA("Montant",$A$3,"Ressource / dépense","Ressources","Enveloppe","Mission 2")-D35</f>
        <v>38450</v>
      </c>
      <c r="E36" s="2">
        <f>GETPIVOTDATA("Montant",$A$3,"Ressource / dépense","Ressources","Enveloppe","Mission 3")-E35</f>
        <v>17000</v>
      </c>
      <c r="F36" s="2">
        <f>GETPIVOTDATA("Montant",$A$3,"Ressource / dépense","Ressources","Enveloppe","Mission 4")-F35</f>
        <v>22000</v>
      </c>
      <c r="G36" s="2">
        <f>GETPIVOTDATA("Montant",$A$3,"Ressource / dépense","Ressources","Enveloppe","Mission 5")-G35</f>
        <v>7200</v>
      </c>
      <c r="H36" s="2">
        <f>GETPIVOTDATA("Montant",$A$3,"Ressource / dépense","Ressources","Enveloppe","Mission 6")-H35</f>
        <v>3800</v>
      </c>
      <c r="I36" s="2">
        <f>GETPIVOTDATA("Montant",$A$3,"Ressource / dépense","Ressources")-I35</f>
        <v>180850</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5EBC3-6B02-48F3-91FF-731F31B8C127}">
  <dimension ref="A1:E25"/>
  <sheetViews>
    <sheetView workbookViewId="0">
      <selection activeCell="C2" sqref="C2"/>
    </sheetView>
  </sheetViews>
  <sheetFormatPr baseColWidth="10" defaultRowHeight="14.5" x14ac:dyDescent="0.35"/>
  <cols>
    <col min="1" max="1" width="20.6328125" customWidth="1"/>
    <col min="3" max="4" width="30" customWidth="1"/>
    <col min="5" max="5" width="12.26953125" customWidth="1"/>
  </cols>
  <sheetData>
    <row r="1" spans="1:5" x14ac:dyDescent="0.35">
      <c r="A1" s="1" t="s">
        <v>40</v>
      </c>
      <c r="C1" s="1" t="s">
        <v>42</v>
      </c>
      <c r="D1" s="1" t="s">
        <v>71</v>
      </c>
      <c r="E1" s="1" t="s">
        <v>38</v>
      </c>
    </row>
    <row r="2" spans="1:5" x14ac:dyDescent="0.35">
      <c r="A2" s="1" t="s">
        <v>0</v>
      </c>
      <c r="C2" s="1" t="s">
        <v>13</v>
      </c>
      <c r="D2" s="1" t="s">
        <v>16</v>
      </c>
      <c r="E2" s="1" t="s">
        <v>47</v>
      </c>
    </row>
    <row r="3" spans="1:5" x14ac:dyDescent="0.35">
      <c r="A3" s="1" t="s">
        <v>1</v>
      </c>
      <c r="C3" s="1" t="s">
        <v>14</v>
      </c>
      <c r="D3" s="1" t="s">
        <v>16</v>
      </c>
      <c r="E3" s="1" t="s">
        <v>47</v>
      </c>
    </row>
    <row r="4" spans="1:5" x14ac:dyDescent="0.35">
      <c r="A4" s="1" t="s">
        <v>2</v>
      </c>
      <c r="C4" s="1" t="s">
        <v>15</v>
      </c>
      <c r="D4" s="1" t="s">
        <v>16</v>
      </c>
      <c r="E4" s="1" t="s">
        <v>47</v>
      </c>
    </row>
    <row r="5" spans="1:5" x14ac:dyDescent="0.35">
      <c r="A5" s="1" t="s">
        <v>3</v>
      </c>
      <c r="C5" s="1" t="s">
        <v>72</v>
      </c>
      <c r="D5" s="1" t="s">
        <v>16</v>
      </c>
      <c r="E5" s="1" t="s">
        <v>47</v>
      </c>
    </row>
    <row r="6" spans="1:5" x14ac:dyDescent="0.35">
      <c r="A6" s="1" t="s">
        <v>4</v>
      </c>
      <c r="C6" s="1" t="s">
        <v>73</v>
      </c>
      <c r="D6" s="1" t="s">
        <v>16</v>
      </c>
      <c r="E6" s="1" t="s">
        <v>47</v>
      </c>
    </row>
    <row r="7" spans="1:5" x14ac:dyDescent="0.35">
      <c r="A7" s="1" t="s">
        <v>5</v>
      </c>
      <c r="C7" s="1" t="s">
        <v>66</v>
      </c>
      <c r="D7" s="1" t="s">
        <v>17</v>
      </c>
      <c r="E7" s="1" t="s">
        <v>47</v>
      </c>
    </row>
    <row r="8" spans="1:5" x14ac:dyDescent="0.35">
      <c r="A8" s="1" t="s">
        <v>6</v>
      </c>
      <c r="C8" s="1" t="s">
        <v>67</v>
      </c>
      <c r="D8" s="1" t="s">
        <v>17</v>
      </c>
      <c r="E8" s="1" t="s">
        <v>47</v>
      </c>
    </row>
    <row r="9" spans="1:5" x14ac:dyDescent="0.35">
      <c r="C9" s="1" t="s">
        <v>18</v>
      </c>
      <c r="D9" s="1" t="s">
        <v>17</v>
      </c>
      <c r="E9" s="1" t="s">
        <v>47</v>
      </c>
    </row>
    <row r="10" spans="1:5" x14ac:dyDescent="0.35">
      <c r="A10" s="1" t="s">
        <v>71</v>
      </c>
      <c r="C10" s="1" t="s">
        <v>19</v>
      </c>
      <c r="D10" s="1" t="s">
        <v>17</v>
      </c>
      <c r="E10" s="1" t="s">
        <v>47</v>
      </c>
    </row>
    <row r="11" spans="1:5" x14ac:dyDescent="0.35">
      <c r="A11" s="1" t="s">
        <v>16</v>
      </c>
      <c r="C11" s="1" t="s">
        <v>20</v>
      </c>
      <c r="D11" s="1" t="s">
        <v>17</v>
      </c>
      <c r="E11" s="1" t="s">
        <v>47</v>
      </c>
    </row>
    <row r="12" spans="1:5" x14ac:dyDescent="0.35">
      <c r="A12" s="1" t="s">
        <v>17</v>
      </c>
      <c r="C12" s="1" t="s">
        <v>21</v>
      </c>
      <c r="D12" s="1" t="s">
        <v>17</v>
      </c>
      <c r="E12" s="1" t="s">
        <v>47</v>
      </c>
    </row>
    <row r="13" spans="1:5" x14ac:dyDescent="0.35">
      <c r="A13" s="1" t="s">
        <v>10</v>
      </c>
      <c r="C13" s="1" t="s">
        <v>74</v>
      </c>
      <c r="D13" s="1" t="s">
        <v>17</v>
      </c>
      <c r="E13" s="1" t="s">
        <v>47</v>
      </c>
    </row>
    <row r="14" spans="1:5" x14ac:dyDescent="0.35">
      <c r="C14" s="1" t="s">
        <v>39</v>
      </c>
      <c r="D14" s="1" t="s">
        <v>17</v>
      </c>
      <c r="E14" s="1" t="s">
        <v>47</v>
      </c>
    </row>
    <row r="15" spans="1:5" x14ac:dyDescent="0.35">
      <c r="A15" s="1" t="s">
        <v>38</v>
      </c>
      <c r="C15" s="1" t="s">
        <v>79</v>
      </c>
      <c r="D15" s="1" t="s">
        <v>17</v>
      </c>
      <c r="E15" s="1" t="s">
        <v>47</v>
      </c>
    </row>
    <row r="16" spans="1:5" x14ac:dyDescent="0.35">
      <c r="A16" s="1" t="s">
        <v>46</v>
      </c>
      <c r="C16" s="1" t="s">
        <v>75</v>
      </c>
      <c r="D16" s="1" t="s">
        <v>17</v>
      </c>
      <c r="E16" s="1" t="s">
        <v>47</v>
      </c>
    </row>
    <row r="17" spans="1:5" x14ac:dyDescent="0.35">
      <c r="A17" s="1" t="s">
        <v>47</v>
      </c>
      <c r="C17" s="1" t="s">
        <v>78</v>
      </c>
      <c r="D17" s="1" t="s">
        <v>17</v>
      </c>
      <c r="E17" s="1" t="s">
        <v>47</v>
      </c>
    </row>
    <row r="18" spans="1:5" x14ac:dyDescent="0.35">
      <c r="C18" s="1" t="s">
        <v>7</v>
      </c>
      <c r="D18" s="1" t="s">
        <v>10</v>
      </c>
      <c r="E18" s="1" t="s">
        <v>46</v>
      </c>
    </row>
    <row r="19" spans="1:5" x14ac:dyDescent="0.35">
      <c r="C19" s="1" t="s">
        <v>8</v>
      </c>
      <c r="D19" s="1" t="s">
        <v>10</v>
      </c>
      <c r="E19" s="1" t="s">
        <v>46</v>
      </c>
    </row>
    <row r="20" spans="1:5" x14ac:dyDescent="0.35">
      <c r="C20" s="1" t="s">
        <v>9</v>
      </c>
      <c r="D20" s="1" t="s">
        <v>10</v>
      </c>
      <c r="E20" s="1" t="s">
        <v>46</v>
      </c>
    </row>
    <row r="21" spans="1:5" x14ac:dyDescent="0.35">
      <c r="C21" s="1" t="s">
        <v>12</v>
      </c>
      <c r="D21" s="1" t="s">
        <v>10</v>
      </c>
      <c r="E21" s="1" t="s">
        <v>46</v>
      </c>
    </row>
    <row r="22" spans="1:5" x14ac:dyDescent="0.35">
      <c r="C22" s="1" t="s">
        <v>11</v>
      </c>
      <c r="D22" s="1" t="s">
        <v>10</v>
      </c>
      <c r="E22" s="1" t="s">
        <v>46</v>
      </c>
    </row>
    <row r="23" spans="1:5" x14ac:dyDescent="0.35">
      <c r="C23" s="1" t="s">
        <v>76</v>
      </c>
      <c r="D23" s="1" t="s">
        <v>10</v>
      </c>
      <c r="E23" s="1" t="s">
        <v>46</v>
      </c>
    </row>
    <row r="24" spans="1:5" x14ac:dyDescent="0.35">
      <c r="C24" s="1" t="s">
        <v>77</v>
      </c>
      <c r="D24" s="1" t="s">
        <v>10</v>
      </c>
      <c r="E24" s="1" t="s">
        <v>46</v>
      </c>
    </row>
    <row r="25" spans="1:5" x14ac:dyDescent="0.35">
      <c r="C25" s="1" t="s">
        <v>104</v>
      </c>
      <c r="D25" s="1" t="s">
        <v>17</v>
      </c>
      <c r="E25" s="1" t="s">
        <v>47</v>
      </c>
    </row>
  </sheetData>
  <autoFilter ref="C1:E25" xr:uid="{EE85EBC3-6B02-48F3-91FF-731F31B8C127}">
    <sortState xmlns:xlrd2="http://schemas.microsoft.com/office/spreadsheetml/2017/richdata2" ref="C2:E25">
      <sortCondition ref="D1:D25"/>
    </sortState>
  </autoFilter>
  <phoneticPr fontId="3" type="noConversion"/>
  <dataValidations count="2">
    <dataValidation type="list" allowBlank="1" showInputMessage="1" showErrorMessage="1" sqref="D1:D1048576" xr:uid="{FB9B9298-B937-4971-A546-D8D6CC294DD2}">
      <formula1>$A$11:$A$13</formula1>
    </dataValidation>
    <dataValidation type="list" allowBlank="1" showInputMessage="1" showErrorMessage="1" sqref="E1:E1048576" xr:uid="{6241C6D9-86DA-4A41-BCF8-561C490CF445}">
      <formula1>$A$16:$A$17</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4C8DB-231E-4B95-BDCA-5CAC20526C6E}">
  <dimension ref="A1:J30"/>
  <sheetViews>
    <sheetView workbookViewId="0">
      <selection activeCell="G3" sqref="G3"/>
    </sheetView>
  </sheetViews>
  <sheetFormatPr baseColWidth="10" defaultRowHeight="14.5" x14ac:dyDescent="0.35"/>
  <cols>
    <col min="2" max="2" width="30.453125" customWidth="1"/>
    <col min="3" max="10" width="13.6328125" customWidth="1"/>
    <col min="11" max="11" width="12.6328125" customWidth="1"/>
  </cols>
  <sheetData>
    <row r="1" spans="1:10" x14ac:dyDescent="0.35">
      <c r="B1" s="32" t="s">
        <v>103</v>
      </c>
      <c r="C1" s="32" t="s">
        <v>0</v>
      </c>
      <c r="D1" s="32" t="s">
        <v>1</v>
      </c>
      <c r="E1" s="32" t="s">
        <v>2</v>
      </c>
      <c r="F1" s="32" t="s">
        <v>3</v>
      </c>
      <c r="G1" s="32" t="s">
        <v>4</v>
      </c>
      <c r="H1" s="32" t="s">
        <v>5</v>
      </c>
      <c r="I1" s="32" t="s">
        <v>6</v>
      </c>
      <c r="J1" s="32" t="s">
        <v>50</v>
      </c>
    </row>
    <row r="2" spans="1:10" x14ac:dyDescent="0.35">
      <c r="A2" s="34" t="s">
        <v>10</v>
      </c>
      <c r="B2" s="23" t="s">
        <v>7</v>
      </c>
      <c r="C2" s="20">
        <v>50000</v>
      </c>
      <c r="D2" s="20">
        <v>55000</v>
      </c>
      <c r="E2" s="20">
        <v>25000</v>
      </c>
      <c r="F2" s="20">
        <v>10000</v>
      </c>
      <c r="G2" s="20">
        <v>25000</v>
      </c>
      <c r="H2" s="20">
        <v>7500</v>
      </c>
      <c r="I2" s="20">
        <v>5000</v>
      </c>
      <c r="J2" s="20">
        <f>SUM(C2:I2)</f>
        <v>177500</v>
      </c>
    </row>
    <row r="3" spans="1:10" x14ac:dyDescent="0.35">
      <c r="A3" s="34"/>
      <c r="B3" s="23" t="s">
        <v>8</v>
      </c>
      <c r="C3" s="20"/>
      <c r="D3" s="20"/>
      <c r="E3" s="20"/>
      <c r="F3" s="20"/>
      <c r="G3" s="20"/>
      <c r="H3" s="20"/>
      <c r="I3" s="20"/>
      <c r="J3" s="20">
        <f t="shared" ref="J3:J8" si="0">SUM(C3:I3)</f>
        <v>0</v>
      </c>
    </row>
    <row r="4" spans="1:10" x14ac:dyDescent="0.35">
      <c r="A4" s="34"/>
      <c r="B4" s="23" t="s">
        <v>11</v>
      </c>
      <c r="C4" s="20"/>
      <c r="D4" s="20"/>
      <c r="E4" s="20"/>
      <c r="F4" s="20"/>
      <c r="G4" s="20"/>
      <c r="H4" s="20"/>
      <c r="I4" s="20"/>
      <c r="J4" s="20">
        <f t="shared" si="0"/>
        <v>0</v>
      </c>
    </row>
    <row r="5" spans="1:10" x14ac:dyDescent="0.35">
      <c r="A5" s="34"/>
      <c r="B5" s="23" t="s">
        <v>9</v>
      </c>
      <c r="C5" s="20"/>
      <c r="D5" s="20"/>
      <c r="E5" s="20"/>
      <c r="F5" s="20"/>
      <c r="G5" s="20"/>
      <c r="H5" s="20"/>
      <c r="I5" s="20"/>
      <c r="J5" s="20">
        <f t="shared" si="0"/>
        <v>0</v>
      </c>
    </row>
    <row r="6" spans="1:10" x14ac:dyDescent="0.35">
      <c r="A6" s="34"/>
      <c r="B6" s="23" t="s">
        <v>77</v>
      </c>
      <c r="C6" s="20"/>
      <c r="D6" s="20"/>
      <c r="E6" s="20"/>
      <c r="F6" s="20"/>
      <c r="G6" s="20"/>
      <c r="H6" s="20"/>
      <c r="I6" s="20"/>
      <c r="J6" s="20">
        <f t="shared" si="0"/>
        <v>0</v>
      </c>
    </row>
    <row r="7" spans="1:10" x14ac:dyDescent="0.35">
      <c r="A7" s="34"/>
      <c r="B7" s="23" t="s">
        <v>12</v>
      </c>
      <c r="C7" s="20"/>
      <c r="D7" s="20"/>
      <c r="E7" s="20"/>
      <c r="F7" s="20"/>
      <c r="G7" s="20"/>
      <c r="H7" s="20"/>
      <c r="I7" s="20"/>
      <c r="J7" s="20">
        <f t="shared" si="0"/>
        <v>0</v>
      </c>
    </row>
    <row r="8" spans="1:10" x14ac:dyDescent="0.35">
      <c r="A8" s="34"/>
      <c r="B8" s="23" t="s">
        <v>76</v>
      </c>
      <c r="C8" s="20"/>
      <c r="D8" s="20"/>
      <c r="E8" s="20"/>
      <c r="F8" s="20"/>
      <c r="G8" s="20"/>
      <c r="H8" s="20"/>
      <c r="I8" s="20"/>
      <c r="J8" s="20">
        <f t="shared" si="0"/>
        <v>0</v>
      </c>
    </row>
    <row r="9" spans="1:10" x14ac:dyDescent="0.35">
      <c r="A9" s="34"/>
      <c r="B9" s="31" t="s">
        <v>83</v>
      </c>
      <c r="C9" s="3">
        <f>SUM(C2:C8)</f>
        <v>50000</v>
      </c>
      <c r="D9" s="3">
        <f t="shared" ref="D9:I9" si="1">SUM(D2:D8)</f>
        <v>55000</v>
      </c>
      <c r="E9" s="3">
        <f t="shared" si="1"/>
        <v>25000</v>
      </c>
      <c r="F9" s="3">
        <f t="shared" si="1"/>
        <v>10000</v>
      </c>
      <c r="G9" s="3">
        <f t="shared" si="1"/>
        <v>25000</v>
      </c>
      <c r="H9" s="3">
        <f t="shared" si="1"/>
        <v>7500</v>
      </c>
      <c r="I9" s="3">
        <f t="shared" si="1"/>
        <v>5000</v>
      </c>
      <c r="J9" s="3">
        <f>SUM(J2:J8)</f>
        <v>177500</v>
      </c>
    </row>
    <row r="10" spans="1:10" ht="14.5" customHeight="1" x14ac:dyDescent="0.35">
      <c r="A10" s="34" t="s">
        <v>16</v>
      </c>
      <c r="B10" s="23" t="s">
        <v>13</v>
      </c>
      <c r="C10" s="20"/>
      <c r="D10" s="20"/>
      <c r="E10" s="20"/>
      <c r="F10" s="20"/>
      <c r="G10" s="20"/>
      <c r="H10" s="20"/>
      <c r="I10" s="20"/>
      <c r="J10" s="20">
        <f>SUM(C10:I10)</f>
        <v>0</v>
      </c>
    </row>
    <row r="11" spans="1:10" x14ac:dyDescent="0.35">
      <c r="A11" s="34"/>
      <c r="B11" s="23" t="s">
        <v>15</v>
      </c>
      <c r="C11" s="20"/>
      <c r="D11" s="20"/>
      <c r="E11" s="20"/>
      <c r="F11" s="20"/>
      <c r="G11" s="20"/>
      <c r="H11" s="20"/>
      <c r="I11" s="20"/>
      <c r="J11" s="20">
        <f t="shared" ref="J11:J14" si="2">SUM(C11:I11)</f>
        <v>0</v>
      </c>
    </row>
    <row r="12" spans="1:10" x14ac:dyDescent="0.35">
      <c r="A12" s="34"/>
      <c r="B12" s="23" t="s">
        <v>14</v>
      </c>
      <c r="C12" s="20"/>
      <c r="D12" s="20"/>
      <c r="E12" s="20"/>
      <c r="F12" s="20"/>
      <c r="G12" s="20"/>
      <c r="H12" s="20"/>
      <c r="I12" s="20"/>
      <c r="J12" s="20">
        <f t="shared" si="2"/>
        <v>0</v>
      </c>
    </row>
    <row r="13" spans="1:10" x14ac:dyDescent="0.35">
      <c r="A13" s="34"/>
      <c r="B13" s="23" t="s">
        <v>73</v>
      </c>
      <c r="C13" s="20"/>
      <c r="D13" s="20"/>
      <c r="E13" s="20"/>
      <c r="F13" s="20"/>
      <c r="G13" s="20"/>
      <c r="H13" s="20"/>
      <c r="I13" s="20"/>
      <c r="J13" s="20">
        <f t="shared" si="2"/>
        <v>0</v>
      </c>
    </row>
    <row r="14" spans="1:10" x14ac:dyDescent="0.35">
      <c r="A14" s="34"/>
      <c r="B14" s="23" t="s">
        <v>72</v>
      </c>
      <c r="C14" s="20"/>
      <c r="D14" s="20"/>
      <c r="E14" s="20"/>
      <c r="F14" s="20"/>
      <c r="G14" s="20"/>
      <c r="H14" s="20"/>
      <c r="I14" s="20"/>
      <c r="J14" s="20">
        <f t="shared" si="2"/>
        <v>0</v>
      </c>
    </row>
    <row r="15" spans="1:10" x14ac:dyDescent="0.35">
      <c r="A15" s="34"/>
      <c r="B15" s="31" t="s">
        <v>84</v>
      </c>
      <c r="C15" s="20">
        <f>SUM(C10:C14)</f>
        <v>0</v>
      </c>
      <c r="D15" s="20">
        <f t="shared" ref="D15:I15" si="3">SUM(D10:D14)</f>
        <v>0</v>
      </c>
      <c r="E15" s="20">
        <f t="shared" si="3"/>
        <v>0</v>
      </c>
      <c r="F15" s="20">
        <f t="shared" si="3"/>
        <v>0</v>
      </c>
      <c r="G15" s="20">
        <f t="shared" si="3"/>
        <v>0</v>
      </c>
      <c r="H15" s="20">
        <f t="shared" si="3"/>
        <v>0</v>
      </c>
      <c r="I15" s="20">
        <f t="shared" si="3"/>
        <v>0</v>
      </c>
      <c r="J15" s="20">
        <f>SUM(J10:J14)</f>
        <v>0</v>
      </c>
    </row>
    <row r="16" spans="1:10" x14ac:dyDescent="0.35">
      <c r="A16" s="34" t="s">
        <v>17</v>
      </c>
      <c r="B16" s="23" t="s">
        <v>75</v>
      </c>
      <c r="C16" s="20"/>
      <c r="D16" s="20"/>
      <c r="E16" s="20"/>
      <c r="F16" s="20"/>
      <c r="G16" s="20"/>
      <c r="H16" s="20"/>
      <c r="I16" s="20"/>
      <c r="J16" s="20">
        <f>SUM(C16:I16)</f>
        <v>0</v>
      </c>
    </row>
    <row r="17" spans="1:10" x14ac:dyDescent="0.35">
      <c r="A17" s="34"/>
      <c r="B17" s="23" t="s">
        <v>79</v>
      </c>
      <c r="C17" s="20"/>
      <c r="D17" s="20"/>
      <c r="E17" s="20"/>
      <c r="F17" s="20"/>
      <c r="G17" s="20"/>
      <c r="H17" s="20"/>
      <c r="I17" s="20"/>
      <c r="J17" s="20">
        <f t="shared" ref="J17:J26" si="4">SUM(C17:I17)</f>
        <v>0</v>
      </c>
    </row>
    <row r="18" spans="1:10" x14ac:dyDescent="0.35">
      <c r="A18" s="34"/>
      <c r="B18" s="23" t="s">
        <v>66</v>
      </c>
      <c r="C18" s="20"/>
      <c r="D18" s="20"/>
      <c r="E18" s="20"/>
      <c r="F18" s="20"/>
      <c r="G18" s="20"/>
      <c r="H18" s="20"/>
      <c r="I18" s="20"/>
      <c r="J18" s="20">
        <f t="shared" si="4"/>
        <v>0</v>
      </c>
    </row>
    <row r="19" spans="1:10" x14ac:dyDescent="0.35">
      <c r="A19" s="34"/>
      <c r="B19" s="23" t="s">
        <v>21</v>
      </c>
      <c r="C19" s="20"/>
      <c r="D19" s="20"/>
      <c r="E19" s="20"/>
      <c r="F19" s="20"/>
      <c r="G19" s="20"/>
      <c r="H19" s="20"/>
      <c r="I19" s="20"/>
      <c r="J19" s="20">
        <f t="shared" si="4"/>
        <v>0</v>
      </c>
    </row>
    <row r="20" spans="1:10" x14ac:dyDescent="0.35">
      <c r="A20" s="34"/>
      <c r="B20" s="23" t="s">
        <v>39</v>
      </c>
      <c r="C20" s="20"/>
      <c r="D20" s="20"/>
      <c r="E20" s="20"/>
      <c r="F20" s="20"/>
      <c r="G20" s="20"/>
      <c r="H20" s="20"/>
      <c r="I20" s="20"/>
      <c r="J20" s="20">
        <f t="shared" si="4"/>
        <v>0</v>
      </c>
    </row>
    <row r="21" spans="1:10" x14ac:dyDescent="0.35">
      <c r="A21" s="34"/>
      <c r="B21" s="23" t="s">
        <v>20</v>
      </c>
      <c r="C21" s="20"/>
      <c r="D21" s="20"/>
      <c r="E21" s="20"/>
      <c r="F21" s="20"/>
      <c r="G21" s="20"/>
      <c r="H21" s="20"/>
      <c r="I21" s="20"/>
      <c r="J21" s="20">
        <f t="shared" si="4"/>
        <v>0</v>
      </c>
    </row>
    <row r="22" spans="1:10" x14ac:dyDescent="0.35">
      <c r="A22" s="34"/>
      <c r="B22" s="23" t="s">
        <v>19</v>
      </c>
      <c r="C22" s="20"/>
      <c r="D22" s="20"/>
      <c r="E22" s="20"/>
      <c r="F22" s="20"/>
      <c r="G22" s="20"/>
      <c r="H22" s="20"/>
      <c r="I22" s="20"/>
      <c r="J22" s="20">
        <f t="shared" si="4"/>
        <v>0</v>
      </c>
    </row>
    <row r="23" spans="1:10" x14ac:dyDescent="0.35">
      <c r="A23" s="34"/>
      <c r="B23" s="23" t="s">
        <v>67</v>
      </c>
      <c r="C23" s="20"/>
      <c r="D23" s="20"/>
      <c r="E23" s="20"/>
      <c r="F23" s="20"/>
      <c r="G23" s="20"/>
      <c r="H23" s="20"/>
      <c r="I23" s="20"/>
      <c r="J23" s="20">
        <f t="shared" si="4"/>
        <v>0</v>
      </c>
    </row>
    <row r="24" spans="1:10" x14ac:dyDescent="0.35">
      <c r="A24" s="34"/>
      <c r="B24" s="23" t="s">
        <v>78</v>
      </c>
      <c r="C24" s="20"/>
      <c r="D24" s="20"/>
      <c r="E24" s="20"/>
      <c r="F24" s="20"/>
      <c r="G24" s="20"/>
      <c r="H24" s="20"/>
      <c r="I24" s="20"/>
      <c r="J24" s="20">
        <f t="shared" si="4"/>
        <v>0</v>
      </c>
    </row>
    <row r="25" spans="1:10" x14ac:dyDescent="0.35">
      <c r="A25" s="34"/>
      <c r="B25" s="23" t="s">
        <v>18</v>
      </c>
      <c r="C25" s="20"/>
      <c r="D25" s="20"/>
      <c r="E25" s="20"/>
      <c r="F25" s="20"/>
      <c r="G25" s="20"/>
      <c r="H25" s="20"/>
      <c r="I25" s="20"/>
      <c r="J25" s="20">
        <f t="shared" si="4"/>
        <v>0</v>
      </c>
    </row>
    <row r="26" spans="1:10" x14ac:dyDescent="0.35">
      <c r="A26" s="34"/>
      <c r="B26" s="23" t="s">
        <v>74</v>
      </c>
      <c r="C26" s="20"/>
      <c r="D26" s="20"/>
      <c r="E26" s="20"/>
      <c r="F26" s="20"/>
      <c r="G26" s="20"/>
      <c r="H26" s="20"/>
      <c r="I26" s="20"/>
      <c r="J26" s="20">
        <f t="shared" si="4"/>
        <v>0</v>
      </c>
    </row>
    <row r="27" spans="1:10" x14ac:dyDescent="0.35">
      <c r="A27" s="34"/>
      <c r="B27" s="31" t="s">
        <v>85</v>
      </c>
      <c r="C27" s="20">
        <f>SUM(C16:C26)</f>
        <v>0</v>
      </c>
      <c r="D27" s="20">
        <f t="shared" ref="D27:J27" si="5">SUM(D16:D26)</f>
        <v>0</v>
      </c>
      <c r="E27" s="20">
        <f t="shared" si="5"/>
        <v>0</v>
      </c>
      <c r="F27" s="20">
        <f t="shared" si="5"/>
        <v>0</v>
      </c>
      <c r="G27" s="20">
        <f t="shared" si="5"/>
        <v>0</v>
      </c>
      <c r="H27" s="20">
        <f t="shared" si="5"/>
        <v>0</v>
      </c>
      <c r="I27" s="20">
        <f t="shared" si="5"/>
        <v>0</v>
      </c>
      <c r="J27" s="20">
        <f t="shared" si="5"/>
        <v>0</v>
      </c>
    </row>
    <row r="29" spans="1:10" x14ac:dyDescent="0.35">
      <c r="B29" s="28" t="s">
        <v>98</v>
      </c>
      <c r="C29" s="2">
        <f t="shared" ref="C29:J29" si="6">C15+C27</f>
        <v>0</v>
      </c>
      <c r="D29" s="2">
        <f t="shared" si="6"/>
        <v>0</v>
      </c>
      <c r="E29" s="2">
        <f t="shared" si="6"/>
        <v>0</v>
      </c>
      <c r="F29" s="2">
        <f t="shared" si="6"/>
        <v>0</v>
      </c>
      <c r="G29" s="2">
        <f t="shared" si="6"/>
        <v>0</v>
      </c>
      <c r="H29" s="2">
        <f t="shared" si="6"/>
        <v>0</v>
      </c>
      <c r="I29" s="2">
        <f t="shared" si="6"/>
        <v>0</v>
      </c>
      <c r="J29" s="2">
        <f t="shared" si="6"/>
        <v>0</v>
      </c>
    </row>
    <row r="30" spans="1:10" x14ac:dyDescent="0.35">
      <c r="B30" s="28" t="s">
        <v>99</v>
      </c>
      <c r="C30" s="2">
        <f t="shared" ref="C30:J30" si="7">C9-C29</f>
        <v>50000</v>
      </c>
      <c r="D30" s="2">
        <f t="shared" si="7"/>
        <v>55000</v>
      </c>
      <c r="E30" s="2">
        <f t="shared" si="7"/>
        <v>25000</v>
      </c>
      <c r="F30" s="2">
        <f t="shared" si="7"/>
        <v>10000</v>
      </c>
      <c r="G30" s="2">
        <f t="shared" si="7"/>
        <v>25000</v>
      </c>
      <c r="H30" s="2">
        <f t="shared" si="7"/>
        <v>7500</v>
      </c>
      <c r="I30" s="2">
        <f t="shared" si="7"/>
        <v>5000</v>
      </c>
      <c r="J30" s="2">
        <f t="shared" si="7"/>
        <v>177500</v>
      </c>
    </row>
  </sheetData>
  <mergeCells count="3">
    <mergeCell ref="A10:A15"/>
    <mergeCell ref="A2:A9"/>
    <mergeCell ref="A16:A27"/>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E8F8C-26A4-4DCF-81BD-1B5FDBE2625C}">
  <dimension ref="A1:J30"/>
  <sheetViews>
    <sheetView workbookViewId="0">
      <selection activeCell="C11" sqref="C11"/>
    </sheetView>
  </sheetViews>
  <sheetFormatPr baseColWidth="10" defaultRowHeight="14.5" x14ac:dyDescent="0.35"/>
  <cols>
    <col min="2" max="2" width="30.453125" customWidth="1"/>
    <col min="3" max="10" width="13.6328125" customWidth="1"/>
    <col min="11" max="11" width="12.6328125" customWidth="1"/>
  </cols>
  <sheetData>
    <row r="1" spans="1:10" x14ac:dyDescent="0.35">
      <c r="B1" s="32" t="s">
        <v>103</v>
      </c>
      <c r="C1" s="32" t="s">
        <v>0</v>
      </c>
      <c r="D1" s="32" t="s">
        <v>1</v>
      </c>
      <c r="E1" s="32" t="s">
        <v>2</v>
      </c>
      <c r="F1" s="32" t="s">
        <v>3</v>
      </c>
      <c r="G1" s="32" t="s">
        <v>4</v>
      </c>
      <c r="H1" s="32" t="s">
        <v>5</v>
      </c>
      <c r="I1" s="32" t="s">
        <v>6</v>
      </c>
      <c r="J1" s="32" t="s">
        <v>50</v>
      </c>
    </row>
    <row r="2" spans="1:10" x14ac:dyDescent="0.35">
      <c r="A2" s="34" t="s">
        <v>10</v>
      </c>
      <c r="B2" s="23" t="s">
        <v>7</v>
      </c>
      <c r="C2" s="20">
        <v>60000</v>
      </c>
      <c r="D2" s="20">
        <v>70000</v>
      </c>
      <c r="E2" s="20">
        <v>35000</v>
      </c>
      <c r="F2" s="20">
        <v>15000</v>
      </c>
      <c r="G2" s="20">
        <v>35000</v>
      </c>
      <c r="H2" s="20">
        <v>10000</v>
      </c>
      <c r="I2" s="20">
        <v>7500</v>
      </c>
      <c r="J2" s="20">
        <f>SUM(C2:I2)</f>
        <v>232500</v>
      </c>
    </row>
    <row r="3" spans="1:10" x14ac:dyDescent="0.35">
      <c r="A3" s="34"/>
      <c r="B3" s="23" t="s">
        <v>8</v>
      </c>
      <c r="C3" s="20"/>
      <c r="D3" s="20"/>
      <c r="E3" s="20"/>
      <c r="F3" s="20"/>
      <c r="G3" s="20"/>
      <c r="H3" s="20"/>
      <c r="I3" s="20"/>
      <c r="J3" s="20">
        <f t="shared" ref="J3:J8" si="0">SUM(C3:I3)</f>
        <v>0</v>
      </c>
    </row>
    <row r="4" spans="1:10" x14ac:dyDescent="0.35">
      <c r="A4" s="34"/>
      <c r="B4" s="23" t="s">
        <v>11</v>
      </c>
      <c r="C4" s="20"/>
      <c r="D4" s="20"/>
      <c r="E4" s="20"/>
      <c r="F4" s="20"/>
      <c r="G4" s="20"/>
      <c r="H4" s="20"/>
      <c r="I4" s="20"/>
      <c r="J4" s="20">
        <f t="shared" si="0"/>
        <v>0</v>
      </c>
    </row>
    <row r="5" spans="1:10" x14ac:dyDescent="0.35">
      <c r="A5" s="34"/>
      <c r="B5" s="23" t="s">
        <v>9</v>
      </c>
      <c r="C5" s="20"/>
      <c r="D5" s="20"/>
      <c r="E5" s="20"/>
      <c r="F5" s="20"/>
      <c r="G5" s="20"/>
      <c r="H5" s="20"/>
      <c r="I5" s="20"/>
      <c r="J5" s="20">
        <f t="shared" si="0"/>
        <v>0</v>
      </c>
    </row>
    <row r="6" spans="1:10" x14ac:dyDescent="0.35">
      <c r="A6" s="34"/>
      <c r="B6" s="23" t="s">
        <v>77</v>
      </c>
      <c r="C6" s="20"/>
      <c r="D6" s="20"/>
      <c r="E6" s="20"/>
      <c r="F6" s="20"/>
      <c r="G6" s="20"/>
      <c r="H6" s="20"/>
      <c r="I6" s="20"/>
      <c r="J6" s="20">
        <f t="shared" si="0"/>
        <v>0</v>
      </c>
    </row>
    <row r="7" spans="1:10" x14ac:dyDescent="0.35">
      <c r="A7" s="34"/>
      <c r="B7" s="23" t="s">
        <v>12</v>
      </c>
      <c r="C7" s="20"/>
      <c r="D7" s="20"/>
      <c r="E7" s="20"/>
      <c r="F7" s="20"/>
      <c r="G7" s="20"/>
      <c r="H7" s="20"/>
      <c r="I7" s="20"/>
      <c r="J7" s="20">
        <f t="shared" si="0"/>
        <v>0</v>
      </c>
    </row>
    <row r="8" spans="1:10" x14ac:dyDescent="0.35">
      <c r="A8" s="34"/>
      <c r="B8" s="23" t="s">
        <v>76</v>
      </c>
      <c r="C8" s="20"/>
      <c r="D8" s="20"/>
      <c r="E8" s="20"/>
      <c r="F8" s="20"/>
      <c r="G8" s="20"/>
      <c r="H8" s="20"/>
      <c r="I8" s="20"/>
      <c r="J8" s="20">
        <f t="shared" si="0"/>
        <v>0</v>
      </c>
    </row>
    <row r="9" spans="1:10" x14ac:dyDescent="0.35">
      <c r="A9" s="34"/>
      <c r="B9" s="31" t="s">
        <v>83</v>
      </c>
      <c r="C9" s="3">
        <f>SUM(C2:C8)</f>
        <v>60000</v>
      </c>
      <c r="D9" s="3">
        <f t="shared" ref="D9:I9" si="1">SUM(D2:D8)</f>
        <v>70000</v>
      </c>
      <c r="E9" s="3">
        <f t="shared" si="1"/>
        <v>35000</v>
      </c>
      <c r="F9" s="3">
        <f t="shared" si="1"/>
        <v>15000</v>
      </c>
      <c r="G9" s="3">
        <f t="shared" si="1"/>
        <v>35000</v>
      </c>
      <c r="H9" s="3">
        <f t="shared" si="1"/>
        <v>10000</v>
      </c>
      <c r="I9" s="3">
        <f t="shared" si="1"/>
        <v>7500</v>
      </c>
      <c r="J9" s="3">
        <f>SUM(J2:J8)</f>
        <v>232500</v>
      </c>
    </row>
    <row r="10" spans="1:10" ht="14.5" customHeight="1" x14ac:dyDescent="0.35">
      <c r="A10" s="34" t="s">
        <v>16</v>
      </c>
      <c r="B10" s="23" t="s">
        <v>13</v>
      </c>
      <c r="C10" s="20"/>
      <c r="D10" s="20"/>
      <c r="E10" s="20"/>
      <c r="F10" s="20"/>
      <c r="G10" s="20"/>
      <c r="H10" s="20"/>
      <c r="I10" s="20"/>
      <c r="J10" s="20">
        <f>SUM(C10:I10)</f>
        <v>0</v>
      </c>
    </row>
    <row r="11" spans="1:10" x14ac:dyDescent="0.35">
      <c r="A11" s="34"/>
      <c r="B11" s="23" t="s">
        <v>15</v>
      </c>
      <c r="C11" s="20"/>
      <c r="D11" s="20"/>
      <c r="E11" s="20"/>
      <c r="F11" s="20"/>
      <c r="G11" s="20"/>
      <c r="H11" s="20"/>
      <c r="I11" s="20"/>
      <c r="J11" s="20">
        <f t="shared" ref="J11:J14" si="2">SUM(C11:I11)</f>
        <v>0</v>
      </c>
    </row>
    <row r="12" spans="1:10" x14ac:dyDescent="0.35">
      <c r="A12" s="34"/>
      <c r="B12" s="23" t="s">
        <v>14</v>
      </c>
      <c r="C12" s="20"/>
      <c r="D12" s="20"/>
      <c r="E12" s="20"/>
      <c r="F12" s="20"/>
      <c r="G12" s="20"/>
      <c r="H12" s="20"/>
      <c r="I12" s="20"/>
      <c r="J12" s="20">
        <f t="shared" si="2"/>
        <v>0</v>
      </c>
    </row>
    <row r="13" spans="1:10" x14ac:dyDescent="0.35">
      <c r="A13" s="34"/>
      <c r="B13" s="23" t="s">
        <v>73</v>
      </c>
      <c r="C13" s="20"/>
      <c r="D13" s="20"/>
      <c r="E13" s="20"/>
      <c r="F13" s="20"/>
      <c r="G13" s="20"/>
      <c r="H13" s="20"/>
      <c r="I13" s="20"/>
      <c r="J13" s="20">
        <f t="shared" si="2"/>
        <v>0</v>
      </c>
    </row>
    <row r="14" spans="1:10" x14ac:dyDescent="0.35">
      <c r="A14" s="34"/>
      <c r="B14" s="23" t="s">
        <v>72</v>
      </c>
      <c r="C14" s="20"/>
      <c r="D14" s="20"/>
      <c r="E14" s="20"/>
      <c r="F14" s="20"/>
      <c r="G14" s="20"/>
      <c r="H14" s="20"/>
      <c r="I14" s="20"/>
      <c r="J14" s="20">
        <f t="shared" si="2"/>
        <v>0</v>
      </c>
    </row>
    <row r="15" spans="1:10" x14ac:dyDescent="0.35">
      <c r="A15" s="34"/>
      <c r="B15" s="31" t="s">
        <v>84</v>
      </c>
      <c r="C15" s="20">
        <f>SUM(C10:C14)</f>
        <v>0</v>
      </c>
      <c r="D15" s="20">
        <f t="shared" ref="D15:I15" si="3">SUM(D10:D14)</f>
        <v>0</v>
      </c>
      <c r="E15" s="20">
        <f t="shared" si="3"/>
        <v>0</v>
      </c>
      <c r="F15" s="20">
        <f t="shared" si="3"/>
        <v>0</v>
      </c>
      <c r="G15" s="20">
        <f t="shared" si="3"/>
        <v>0</v>
      </c>
      <c r="H15" s="20">
        <f t="shared" si="3"/>
        <v>0</v>
      </c>
      <c r="I15" s="20">
        <f t="shared" si="3"/>
        <v>0</v>
      </c>
      <c r="J15" s="20">
        <f>SUM(J10:J14)</f>
        <v>0</v>
      </c>
    </row>
    <row r="16" spans="1:10" x14ac:dyDescent="0.35">
      <c r="A16" s="34" t="s">
        <v>17</v>
      </c>
      <c r="B16" s="23" t="s">
        <v>75</v>
      </c>
      <c r="C16" s="20"/>
      <c r="D16" s="20"/>
      <c r="E16" s="20"/>
      <c r="F16" s="20"/>
      <c r="G16" s="20"/>
      <c r="H16" s="20"/>
      <c r="I16" s="20"/>
      <c r="J16" s="20">
        <f>SUM(C16:I16)</f>
        <v>0</v>
      </c>
    </row>
    <row r="17" spans="1:10" x14ac:dyDescent="0.35">
      <c r="A17" s="34"/>
      <c r="B17" s="23" t="s">
        <v>79</v>
      </c>
      <c r="C17" s="20"/>
      <c r="D17" s="20"/>
      <c r="E17" s="20"/>
      <c r="F17" s="20"/>
      <c r="G17" s="20"/>
      <c r="H17" s="20"/>
      <c r="I17" s="20"/>
      <c r="J17" s="20">
        <f t="shared" ref="J17:J26" si="4">SUM(C17:I17)</f>
        <v>0</v>
      </c>
    </row>
    <row r="18" spans="1:10" x14ac:dyDescent="0.35">
      <c r="A18" s="34"/>
      <c r="B18" s="23" t="s">
        <v>66</v>
      </c>
      <c r="C18" s="20"/>
      <c r="D18" s="20"/>
      <c r="E18" s="20"/>
      <c r="F18" s="20"/>
      <c r="G18" s="20"/>
      <c r="H18" s="20"/>
      <c r="I18" s="20"/>
      <c r="J18" s="20">
        <f t="shared" si="4"/>
        <v>0</v>
      </c>
    </row>
    <row r="19" spans="1:10" x14ac:dyDescent="0.35">
      <c r="A19" s="34"/>
      <c r="B19" s="23" t="s">
        <v>21</v>
      </c>
      <c r="C19" s="20"/>
      <c r="D19" s="20"/>
      <c r="E19" s="20"/>
      <c r="F19" s="20"/>
      <c r="G19" s="20"/>
      <c r="H19" s="20"/>
      <c r="I19" s="20"/>
      <c r="J19" s="20">
        <f t="shared" si="4"/>
        <v>0</v>
      </c>
    </row>
    <row r="20" spans="1:10" x14ac:dyDescent="0.35">
      <c r="A20" s="34"/>
      <c r="B20" s="23" t="s">
        <v>39</v>
      </c>
      <c r="C20" s="20"/>
      <c r="D20" s="20"/>
      <c r="E20" s="20"/>
      <c r="F20" s="20"/>
      <c r="G20" s="20"/>
      <c r="H20" s="20"/>
      <c r="I20" s="20"/>
      <c r="J20" s="20">
        <f t="shared" si="4"/>
        <v>0</v>
      </c>
    </row>
    <row r="21" spans="1:10" x14ac:dyDescent="0.35">
      <c r="A21" s="34"/>
      <c r="B21" s="23" t="s">
        <v>20</v>
      </c>
      <c r="C21" s="20"/>
      <c r="D21" s="20"/>
      <c r="E21" s="20"/>
      <c r="F21" s="20"/>
      <c r="G21" s="20"/>
      <c r="H21" s="20"/>
      <c r="I21" s="20"/>
      <c r="J21" s="20">
        <f t="shared" si="4"/>
        <v>0</v>
      </c>
    </row>
    <row r="22" spans="1:10" x14ac:dyDescent="0.35">
      <c r="A22" s="34"/>
      <c r="B22" s="23" t="s">
        <v>19</v>
      </c>
      <c r="C22" s="20"/>
      <c r="D22" s="20"/>
      <c r="E22" s="20"/>
      <c r="F22" s="20"/>
      <c r="G22" s="20"/>
      <c r="H22" s="20"/>
      <c r="I22" s="20"/>
      <c r="J22" s="20">
        <f t="shared" si="4"/>
        <v>0</v>
      </c>
    </row>
    <row r="23" spans="1:10" x14ac:dyDescent="0.35">
      <c r="A23" s="34"/>
      <c r="B23" s="23" t="s">
        <v>67</v>
      </c>
      <c r="C23" s="20"/>
      <c r="D23" s="20"/>
      <c r="E23" s="20"/>
      <c r="F23" s="20"/>
      <c r="G23" s="20"/>
      <c r="H23" s="20"/>
      <c r="I23" s="20"/>
      <c r="J23" s="20">
        <f t="shared" si="4"/>
        <v>0</v>
      </c>
    </row>
    <row r="24" spans="1:10" x14ac:dyDescent="0.35">
      <c r="A24" s="34"/>
      <c r="B24" s="23" t="s">
        <v>78</v>
      </c>
      <c r="C24" s="20"/>
      <c r="D24" s="20"/>
      <c r="E24" s="20"/>
      <c r="F24" s="20"/>
      <c r="G24" s="20"/>
      <c r="H24" s="20"/>
      <c r="I24" s="20"/>
      <c r="J24" s="20">
        <f t="shared" si="4"/>
        <v>0</v>
      </c>
    </row>
    <row r="25" spans="1:10" x14ac:dyDescent="0.35">
      <c r="A25" s="34"/>
      <c r="B25" s="23" t="s">
        <v>18</v>
      </c>
      <c r="C25" s="20"/>
      <c r="D25" s="20"/>
      <c r="E25" s="20"/>
      <c r="F25" s="20"/>
      <c r="G25" s="20"/>
      <c r="H25" s="20"/>
      <c r="I25" s="20"/>
      <c r="J25" s="20">
        <f t="shared" si="4"/>
        <v>0</v>
      </c>
    </row>
    <row r="26" spans="1:10" x14ac:dyDescent="0.35">
      <c r="A26" s="34"/>
      <c r="B26" s="23" t="s">
        <v>74</v>
      </c>
      <c r="C26" s="20"/>
      <c r="D26" s="20"/>
      <c r="E26" s="20"/>
      <c r="F26" s="20"/>
      <c r="G26" s="20"/>
      <c r="H26" s="20"/>
      <c r="I26" s="20"/>
      <c r="J26" s="20">
        <f t="shared" si="4"/>
        <v>0</v>
      </c>
    </row>
    <row r="27" spans="1:10" x14ac:dyDescent="0.35">
      <c r="A27" s="34"/>
      <c r="B27" s="31" t="s">
        <v>85</v>
      </c>
      <c r="C27" s="20">
        <f>SUM(C16:C26)</f>
        <v>0</v>
      </c>
      <c r="D27" s="20">
        <f t="shared" ref="D27:J27" si="5">SUM(D16:D26)</f>
        <v>0</v>
      </c>
      <c r="E27" s="20">
        <f t="shared" si="5"/>
        <v>0</v>
      </c>
      <c r="F27" s="20">
        <f t="shared" si="5"/>
        <v>0</v>
      </c>
      <c r="G27" s="20">
        <f t="shared" si="5"/>
        <v>0</v>
      </c>
      <c r="H27" s="20">
        <f t="shared" si="5"/>
        <v>0</v>
      </c>
      <c r="I27" s="20">
        <f t="shared" si="5"/>
        <v>0</v>
      </c>
      <c r="J27" s="20">
        <f t="shared" si="5"/>
        <v>0</v>
      </c>
    </row>
    <row r="29" spans="1:10" x14ac:dyDescent="0.35">
      <c r="B29" s="28" t="s">
        <v>98</v>
      </c>
      <c r="C29" s="2">
        <f t="shared" ref="C29:J29" si="6">C15+C27</f>
        <v>0</v>
      </c>
      <c r="D29" s="2">
        <f t="shared" si="6"/>
        <v>0</v>
      </c>
      <c r="E29" s="2">
        <f t="shared" si="6"/>
        <v>0</v>
      </c>
      <c r="F29" s="2">
        <f t="shared" si="6"/>
        <v>0</v>
      </c>
      <c r="G29" s="2">
        <f t="shared" si="6"/>
        <v>0</v>
      </c>
      <c r="H29" s="2">
        <f t="shared" si="6"/>
        <v>0</v>
      </c>
      <c r="I29" s="2">
        <f t="shared" si="6"/>
        <v>0</v>
      </c>
      <c r="J29" s="2">
        <f t="shared" si="6"/>
        <v>0</v>
      </c>
    </row>
    <row r="30" spans="1:10" x14ac:dyDescent="0.35">
      <c r="B30" s="28" t="s">
        <v>99</v>
      </c>
      <c r="C30" s="2">
        <f t="shared" ref="C30:J30" si="7">C9-C29</f>
        <v>60000</v>
      </c>
      <c r="D30" s="2">
        <f t="shared" si="7"/>
        <v>70000</v>
      </c>
      <c r="E30" s="2">
        <f t="shared" si="7"/>
        <v>35000</v>
      </c>
      <c r="F30" s="2">
        <f t="shared" si="7"/>
        <v>15000</v>
      </c>
      <c r="G30" s="2">
        <f t="shared" si="7"/>
        <v>35000</v>
      </c>
      <c r="H30" s="2">
        <f t="shared" si="7"/>
        <v>10000</v>
      </c>
      <c r="I30" s="2">
        <f t="shared" si="7"/>
        <v>7500</v>
      </c>
      <c r="J30" s="2">
        <f t="shared" si="7"/>
        <v>232500</v>
      </c>
    </row>
  </sheetData>
  <mergeCells count="3">
    <mergeCell ref="A2:A9"/>
    <mergeCell ref="A10:A15"/>
    <mergeCell ref="A16:A27"/>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FD9BC-8215-49A9-862F-F973694372F1}">
  <dimension ref="A1:J30"/>
  <sheetViews>
    <sheetView workbookViewId="0">
      <selection activeCell="C11" sqref="C11"/>
    </sheetView>
  </sheetViews>
  <sheetFormatPr baseColWidth="10" defaultRowHeight="14.5" x14ac:dyDescent="0.35"/>
  <cols>
    <col min="2" max="2" width="30.453125" customWidth="1"/>
    <col min="3" max="10" width="13.6328125" customWidth="1"/>
    <col min="11" max="11" width="12.6328125" customWidth="1"/>
  </cols>
  <sheetData>
    <row r="1" spans="1:10" x14ac:dyDescent="0.35">
      <c r="B1" s="32" t="s">
        <v>103</v>
      </c>
      <c r="C1" s="32" t="s">
        <v>0</v>
      </c>
      <c r="D1" s="32" t="s">
        <v>1</v>
      </c>
      <c r="E1" s="32" t="s">
        <v>2</v>
      </c>
      <c r="F1" s="32" t="s">
        <v>3</v>
      </c>
      <c r="G1" s="32" t="s">
        <v>4</v>
      </c>
      <c r="H1" s="32" t="s">
        <v>5</v>
      </c>
      <c r="I1" s="32" t="s">
        <v>6</v>
      </c>
      <c r="J1" s="32" t="s">
        <v>50</v>
      </c>
    </row>
    <row r="2" spans="1:10" x14ac:dyDescent="0.35">
      <c r="A2" s="34" t="s">
        <v>10</v>
      </c>
      <c r="B2" s="23" t="s">
        <v>7</v>
      </c>
      <c r="C2" s="20">
        <v>75000</v>
      </c>
      <c r="D2" s="20">
        <v>90000</v>
      </c>
      <c r="E2" s="20">
        <v>45000</v>
      </c>
      <c r="F2" s="20">
        <v>17500</v>
      </c>
      <c r="G2" s="20">
        <v>45000</v>
      </c>
      <c r="H2" s="20">
        <v>15000</v>
      </c>
      <c r="I2" s="20">
        <v>10000</v>
      </c>
      <c r="J2" s="20">
        <f>SUM(C2:I2)</f>
        <v>297500</v>
      </c>
    </row>
    <row r="3" spans="1:10" x14ac:dyDescent="0.35">
      <c r="A3" s="34"/>
      <c r="B3" s="23" t="s">
        <v>8</v>
      </c>
      <c r="C3" s="20"/>
      <c r="D3" s="20"/>
      <c r="E3" s="20"/>
      <c r="F3" s="20"/>
      <c r="G3" s="20"/>
      <c r="H3" s="20"/>
      <c r="I3" s="20"/>
      <c r="J3" s="20">
        <f t="shared" ref="J3:J8" si="0">SUM(C3:I3)</f>
        <v>0</v>
      </c>
    </row>
    <row r="4" spans="1:10" x14ac:dyDescent="0.35">
      <c r="A4" s="34"/>
      <c r="B4" s="23" t="s">
        <v>11</v>
      </c>
      <c r="C4" s="20"/>
      <c r="D4" s="20"/>
      <c r="E4" s="20"/>
      <c r="F4" s="20"/>
      <c r="G4" s="20"/>
      <c r="H4" s="20"/>
      <c r="I4" s="20"/>
      <c r="J4" s="20">
        <f t="shared" si="0"/>
        <v>0</v>
      </c>
    </row>
    <row r="5" spans="1:10" x14ac:dyDescent="0.35">
      <c r="A5" s="34"/>
      <c r="B5" s="23" t="s">
        <v>9</v>
      </c>
      <c r="C5" s="20"/>
      <c r="D5" s="20"/>
      <c r="E5" s="20"/>
      <c r="F5" s="20"/>
      <c r="G5" s="20"/>
      <c r="H5" s="20"/>
      <c r="I5" s="20"/>
      <c r="J5" s="20">
        <f t="shared" si="0"/>
        <v>0</v>
      </c>
    </row>
    <row r="6" spans="1:10" x14ac:dyDescent="0.35">
      <c r="A6" s="34"/>
      <c r="B6" s="23" t="s">
        <v>77</v>
      </c>
      <c r="C6" s="20"/>
      <c r="D6" s="20"/>
      <c r="E6" s="20"/>
      <c r="F6" s="20"/>
      <c r="G6" s="20"/>
      <c r="H6" s="20"/>
      <c r="I6" s="20"/>
      <c r="J6" s="20">
        <f t="shared" si="0"/>
        <v>0</v>
      </c>
    </row>
    <row r="7" spans="1:10" x14ac:dyDescent="0.35">
      <c r="A7" s="34"/>
      <c r="B7" s="23" t="s">
        <v>12</v>
      </c>
      <c r="C7" s="20"/>
      <c r="D7" s="20"/>
      <c r="E7" s="20"/>
      <c r="F7" s="20"/>
      <c r="G7" s="20"/>
      <c r="H7" s="20"/>
      <c r="I7" s="20"/>
      <c r="J7" s="20">
        <f t="shared" si="0"/>
        <v>0</v>
      </c>
    </row>
    <row r="8" spans="1:10" x14ac:dyDescent="0.35">
      <c r="A8" s="34"/>
      <c r="B8" s="23" t="s">
        <v>76</v>
      </c>
      <c r="C8" s="20"/>
      <c r="D8" s="20"/>
      <c r="E8" s="20"/>
      <c r="F8" s="20"/>
      <c r="G8" s="20"/>
      <c r="H8" s="20"/>
      <c r="I8" s="20"/>
      <c r="J8" s="20">
        <f t="shared" si="0"/>
        <v>0</v>
      </c>
    </row>
    <row r="9" spans="1:10" x14ac:dyDescent="0.35">
      <c r="A9" s="34"/>
      <c r="B9" s="31" t="s">
        <v>83</v>
      </c>
      <c r="C9" s="3">
        <f>SUM(C2:C8)</f>
        <v>75000</v>
      </c>
      <c r="D9" s="3">
        <f t="shared" ref="D9:I9" si="1">SUM(D2:D8)</f>
        <v>90000</v>
      </c>
      <c r="E9" s="3">
        <f t="shared" si="1"/>
        <v>45000</v>
      </c>
      <c r="F9" s="3">
        <f t="shared" si="1"/>
        <v>17500</v>
      </c>
      <c r="G9" s="3">
        <f t="shared" si="1"/>
        <v>45000</v>
      </c>
      <c r="H9" s="3">
        <f t="shared" si="1"/>
        <v>15000</v>
      </c>
      <c r="I9" s="3">
        <f t="shared" si="1"/>
        <v>10000</v>
      </c>
      <c r="J9" s="3">
        <f>SUM(J2:J8)</f>
        <v>297500</v>
      </c>
    </row>
    <row r="10" spans="1:10" ht="14.5" customHeight="1" x14ac:dyDescent="0.35">
      <c r="A10" s="34" t="s">
        <v>16</v>
      </c>
      <c r="B10" s="23" t="s">
        <v>13</v>
      </c>
      <c r="C10" s="20"/>
      <c r="D10" s="20"/>
      <c r="E10" s="20"/>
      <c r="F10" s="20"/>
      <c r="G10" s="20"/>
      <c r="H10" s="20"/>
      <c r="I10" s="20"/>
      <c r="J10" s="20">
        <f>SUM(C10:I10)</f>
        <v>0</v>
      </c>
    </row>
    <row r="11" spans="1:10" x14ac:dyDescent="0.35">
      <c r="A11" s="34"/>
      <c r="B11" s="23" t="s">
        <v>15</v>
      </c>
      <c r="C11" s="20"/>
      <c r="D11" s="20"/>
      <c r="E11" s="20"/>
      <c r="F11" s="20"/>
      <c r="G11" s="20"/>
      <c r="H11" s="20"/>
      <c r="I11" s="20"/>
      <c r="J11" s="20">
        <f t="shared" ref="J11:J14" si="2">SUM(C11:I11)</f>
        <v>0</v>
      </c>
    </row>
    <row r="12" spans="1:10" x14ac:dyDescent="0.35">
      <c r="A12" s="34"/>
      <c r="B12" s="23" t="s">
        <v>14</v>
      </c>
      <c r="C12" s="20"/>
      <c r="D12" s="20"/>
      <c r="E12" s="20"/>
      <c r="F12" s="20"/>
      <c r="G12" s="20"/>
      <c r="H12" s="20"/>
      <c r="I12" s="20"/>
      <c r="J12" s="20">
        <f t="shared" si="2"/>
        <v>0</v>
      </c>
    </row>
    <row r="13" spans="1:10" x14ac:dyDescent="0.35">
      <c r="A13" s="34"/>
      <c r="B13" s="23" t="s">
        <v>73</v>
      </c>
      <c r="C13" s="20"/>
      <c r="D13" s="20"/>
      <c r="E13" s="20"/>
      <c r="F13" s="20"/>
      <c r="G13" s="20"/>
      <c r="H13" s="20"/>
      <c r="I13" s="20"/>
      <c r="J13" s="20">
        <f t="shared" si="2"/>
        <v>0</v>
      </c>
    </row>
    <row r="14" spans="1:10" x14ac:dyDescent="0.35">
      <c r="A14" s="34"/>
      <c r="B14" s="23" t="s">
        <v>72</v>
      </c>
      <c r="C14" s="20"/>
      <c r="D14" s="20"/>
      <c r="E14" s="20"/>
      <c r="F14" s="20"/>
      <c r="G14" s="20"/>
      <c r="H14" s="20"/>
      <c r="I14" s="20"/>
      <c r="J14" s="20">
        <f t="shared" si="2"/>
        <v>0</v>
      </c>
    </row>
    <row r="15" spans="1:10" x14ac:dyDescent="0.35">
      <c r="A15" s="34"/>
      <c r="B15" s="31" t="s">
        <v>84</v>
      </c>
      <c r="C15" s="20">
        <f>SUM(C10:C14)</f>
        <v>0</v>
      </c>
      <c r="D15" s="20">
        <f t="shared" ref="D15:I15" si="3">SUM(D10:D14)</f>
        <v>0</v>
      </c>
      <c r="E15" s="20">
        <f t="shared" si="3"/>
        <v>0</v>
      </c>
      <c r="F15" s="20">
        <f t="shared" si="3"/>
        <v>0</v>
      </c>
      <c r="G15" s="20">
        <f t="shared" si="3"/>
        <v>0</v>
      </c>
      <c r="H15" s="20">
        <f t="shared" si="3"/>
        <v>0</v>
      </c>
      <c r="I15" s="20">
        <f t="shared" si="3"/>
        <v>0</v>
      </c>
      <c r="J15" s="20">
        <f>SUM(J10:J14)</f>
        <v>0</v>
      </c>
    </row>
    <row r="16" spans="1:10" x14ac:dyDescent="0.35">
      <c r="A16" s="34" t="s">
        <v>17</v>
      </c>
      <c r="B16" s="23" t="s">
        <v>75</v>
      </c>
      <c r="C16" s="20"/>
      <c r="D16" s="20"/>
      <c r="E16" s="20"/>
      <c r="F16" s="20"/>
      <c r="G16" s="20"/>
      <c r="H16" s="20"/>
      <c r="I16" s="20"/>
      <c r="J16" s="20">
        <f>SUM(C16:I16)</f>
        <v>0</v>
      </c>
    </row>
    <row r="17" spans="1:10" x14ac:dyDescent="0.35">
      <c r="A17" s="34"/>
      <c r="B17" s="23" t="s">
        <v>79</v>
      </c>
      <c r="C17" s="20"/>
      <c r="D17" s="20"/>
      <c r="E17" s="20"/>
      <c r="F17" s="20"/>
      <c r="G17" s="20"/>
      <c r="H17" s="20"/>
      <c r="I17" s="20"/>
      <c r="J17" s="20">
        <f t="shared" ref="J17:J26" si="4">SUM(C17:I17)</f>
        <v>0</v>
      </c>
    </row>
    <row r="18" spans="1:10" x14ac:dyDescent="0.35">
      <c r="A18" s="34"/>
      <c r="B18" s="23" t="s">
        <v>66</v>
      </c>
      <c r="C18" s="20"/>
      <c r="D18" s="20"/>
      <c r="E18" s="20"/>
      <c r="F18" s="20"/>
      <c r="G18" s="20"/>
      <c r="H18" s="20"/>
      <c r="I18" s="20"/>
      <c r="J18" s="20">
        <f t="shared" si="4"/>
        <v>0</v>
      </c>
    </row>
    <row r="19" spans="1:10" x14ac:dyDescent="0.35">
      <c r="A19" s="34"/>
      <c r="B19" s="23" t="s">
        <v>21</v>
      </c>
      <c r="C19" s="20"/>
      <c r="D19" s="20"/>
      <c r="E19" s="20"/>
      <c r="F19" s="20"/>
      <c r="G19" s="20"/>
      <c r="H19" s="20"/>
      <c r="I19" s="20"/>
      <c r="J19" s="20">
        <f t="shared" si="4"/>
        <v>0</v>
      </c>
    </row>
    <row r="20" spans="1:10" x14ac:dyDescent="0.35">
      <c r="A20" s="34"/>
      <c r="B20" s="23" t="s">
        <v>39</v>
      </c>
      <c r="C20" s="20"/>
      <c r="D20" s="20"/>
      <c r="E20" s="20"/>
      <c r="F20" s="20"/>
      <c r="G20" s="20"/>
      <c r="H20" s="20"/>
      <c r="I20" s="20"/>
      <c r="J20" s="20">
        <f t="shared" si="4"/>
        <v>0</v>
      </c>
    </row>
    <row r="21" spans="1:10" x14ac:dyDescent="0.35">
      <c r="A21" s="34"/>
      <c r="B21" s="23" t="s">
        <v>20</v>
      </c>
      <c r="C21" s="20"/>
      <c r="D21" s="20"/>
      <c r="E21" s="20"/>
      <c r="F21" s="20"/>
      <c r="G21" s="20"/>
      <c r="H21" s="20"/>
      <c r="I21" s="20"/>
      <c r="J21" s="20">
        <f t="shared" si="4"/>
        <v>0</v>
      </c>
    </row>
    <row r="22" spans="1:10" x14ac:dyDescent="0.35">
      <c r="A22" s="34"/>
      <c r="B22" s="23" t="s">
        <v>19</v>
      </c>
      <c r="C22" s="20"/>
      <c r="D22" s="20"/>
      <c r="E22" s="20"/>
      <c r="F22" s="20"/>
      <c r="G22" s="20"/>
      <c r="H22" s="20"/>
      <c r="I22" s="20"/>
      <c r="J22" s="20">
        <f t="shared" si="4"/>
        <v>0</v>
      </c>
    </row>
    <row r="23" spans="1:10" x14ac:dyDescent="0.35">
      <c r="A23" s="34"/>
      <c r="B23" s="23" t="s">
        <v>67</v>
      </c>
      <c r="C23" s="20"/>
      <c r="D23" s="20"/>
      <c r="E23" s="20"/>
      <c r="F23" s="20"/>
      <c r="G23" s="20"/>
      <c r="H23" s="20"/>
      <c r="I23" s="20"/>
      <c r="J23" s="20">
        <f t="shared" si="4"/>
        <v>0</v>
      </c>
    </row>
    <row r="24" spans="1:10" x14ac:dyDescent="0.35">
      <c r="A24" s="34"/>
      <c r="B24" s="23" t="s">
        <v>78</v>
      </c>
      <c r="C24" s="20"/>
      <c r="D24" s="20"/>
      <c r="E24" s="20"/>
      <c r="F24" s="20"/>
      <c r="G24" s="20"/>
      <c r="H24" s="20"/>
      <c r="I24" s="20"/>
      <c r="J24" s="20">
        <f t="shared" si="4"/>
        <v>0</v>
      </c>
    </row>
    <row r="25" spans="1:10" x14ac:dyDescent="0.35">
      <c r="A25" s="34"/>
      <c r="B25" s="23" t="s">
        <v>18</v>
      </c>
      <c r="C25" s="20"/>
      <c r="D25" s="20"/>
      <c r="E25" s="20"/>
      <c r="F25" s="20"/>
      <c r="G25" s="20"/>
      <c r="H25" s="20"/>
      <c r="I25" s="20"/>
      <c r="J25" s="20">
        <f t="shared" si="4"/>
        <v>0</v>
      </c>
    </row>
    <row r="26" spans="1:10" x14ac:dyDescent="0.35">
      <c r="A26" s="34"/>
      <c r="B26" s="23" t="s">
        <v>74</v>
      </c>
      <c r="C26" s="20"/>
      <c r="D26" s="20"/>
      <c r="E26" s="20"/>
      <c r="F26" s="20"/>
      <c r="G26" s="20"/>
      <c r="H26" s="20"/>
      <c r="I26" s="20"/>
      <c r="J26" s="20">
        <f t="shared" si="4"/>
        <v>0</v>
      </c>
    </row>
    <row r="27" spans="1:10" x14ac:dyDescent="0.35">
      <c r="A27" s="34"/>
      <c r="B27" s="31" t="s">
        <v>85</v>
      </c>
      <c r="C27" s="20">
        <f>SUM(C16:C26)</f>
        <v>0</v>
      </c>
      <c r="D27" s="20">
        <f t="shared" ref="D27:J27" si="5">SUM(D16:D26)</f>
        <v>0</v>
      </c>
      <c r="E27" s="20">
        <f t="shared" si="5"/>
        <v>0</v>
      </c>
      <c r="F27" s="20">
        <f t="shared" si="5"/>
        <v>0</v>
      </c>
      <c r="G27" s="20">
        <f t="shared" si="5"/>
        <v>0</v>
      </c>
      <c r="H27" s="20">
        <f t="shared" si="5"/>
        <v>0</v>
      </c>
      <c r="I27" s="20">
        <f t="shared" si="5"/>
        <v>0</v>
      </c>
      <c r="J27" s="20">
        <f t="shared" si="5"/>
        <v>0</v>
      </c>
    </row>
    <row r="29" spans="1:10" x14ac:dyDescent="0.35">
      <c r="B29" s="28" t="s">
        <v>98</v>
      </c>
      <c r="C29" s="2">
        <f t="shared" ref="C29:J29" si="6">C15+C27</f>
        <v>0</v>
      </c>
      <c r="D29" s="2">
        <f t="shared" si="6"/>
        <v>0</v>
      </c>
      <c r="E29" s="2">
        <f t="shared" si="6"/>
        <v>0</v>
      </c>
      <c r="F29" s="2">
        <f t="shared" si="6"/>
        <v>0</v>
      </c>
      <c r="G29" s="2">
        <f t="shared" si="6"/>
        <v>0</v>
      </c>
      <c r="H29" s="2">
        <f t="shared" si="6"/>
        <v>0</v>
      </c>
      <c r="I29" s="2">
        <f t="shared" si="6"/>
        <v>0</v>
      </c>
      <c r="J29" s="2">
        <f t="shared" si="6"/>
        <v>0</v>
      </c>
    </row>
    <row r="30" spans="1:10" x14ac:dyDescent="0.35">
      <c r="B30" s="28" t="s">
        <v>99</v>
      </c>
      <c r="C30" s="2">
        <f t="shared" ref="C30:J30" si="7">C9-C29</f>
        <v>75000</v>
      </c>
      <c r="D30" s="2">
        <f t="shared" si="7"/>
        <v>90000</v>
      </c>
      <c r="E30" s="2">
        <f t="shared" si="7"/>
        <v>45000</v>
      </c>
      <c r="F30" s="2">
        <f t="shared" si="7"/>
        <v>17500</v>
      </c>
      <c r="G30" s="2">
        <f t="shared" si="7"/>
        <v>45000</v>
      </c>
      <c r="H30" s="2">
        <f t="shared" si="7"/>
        <v>15000</v>
      </c>
      <c r="I30" s="2">
        <f t="shared" si="7"/>
        <v>10000</v>
      </c>
      <c r="J30" s="2">
        <f t="shared" si="7"/>
        <v>297500</v>
      </c>
    </row>
  </sheetData>
  <mergeCells count="3">
    <mergeCell ref="A2:A9"/>
    <mergeCell ref="A10:A15"/>
    <mergeCell ref="A16:A27"/>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84D8D11ACFF646835E145C61BA8880" ma:contentTypeVersion="13" ma:contentTypeDescription="Crée un document." ma:contentTypeScope="" ma:versionID="88b8db3803740d15d48318ba4f504735">
  <xsd:schema xmlns:xsd="http://www.w3.org/2001/XMLSchema" xmlns:xs="http://www.w3.org/2001/XMLSchema" xmlns:p="http://schemas.microsoft.com/office/2006/metadata/properties" xmlns:ns2="eb84061d-8a78-4eeb-b01b-bf08a2a9fa44" xmlns:ns3="2a8f47c3-1535-4e5d-aa9f-c78022dd9c24" targetNamespace="http://schemas.microsoft.com/office/2006/metadata/properties" ma:root="true" ma:fieldsID="26cb19097d19c0b89320201f502a9445" ns2:_="" ns3:_="">
    <xsd:import namespace="eb84061d-8a78-4eeb-b01b-bf08a2a9fa44"/>
    <xsd:import namespace="2a8f47c3-1535-4e5d-aa9f-c78022dd9c2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84061d-8a78-4eeb-b01b-bf08a2a9fa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c3707430-85b0-40f7-8e2e-2cb7ceea19c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8f47c3-1535-4e5d-aa9f-c78022dd9c2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7744d25-8678-44c6-a27f-4645eb8722fc}" ma:internalName="TaxCatchAll" ma:showField="CatchAllData" ma:web="2a8f47c3-1535-4e5d-aa9f-c78022dd9c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a8f47c3-1535-4e5d-aa9f-c78022dd9c24" xsi:nil="true"/>
    <lcf76f155ced4ddcb4097134ff3c332f xmlns="eb84061d-8a78-4eeb-b01b-bf08a2a9fa4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3BEE67-7961-4214-A9B3-4014E54114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84061d-8a78-4eeb-b01b-bf08a2a9fa44"/>
    <ds:schemaRef ds:uri="2a8f47c3-1535-4e5d-aa9f-c78022dd9c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21FC96-CCFA-4B83-91EC-873E291A74B7}">
  <ds:schemaRefs>
    <ds:schemaRef ds:uri="http://schemas.microsoft.com/office/2006/metadata/properties"/>
    <ds:schemaRef ds:uri="http://schemas.microsoft.com/office/infopath/2007/PartnerControls"/>
    <ds:schemaRef ds:uri="2a8f47c3-1535-4e5d-aa9f-c78022dd9c24"/>
    <ds:schemaRef ds:uri="eb84061d-8a78-4eeb-b01b-bf08a2a9fa44"/>
  </ds:schemaRefs>
</ds:datastoreItem>
</file>

<file path=customXml/itemProps3.xml><?xml version="1.0" encoding="utf-8"?>
<ds:datastoreItem xmlns:ds="http://schemas.openxmlformats.org/officeDocument/2006/customXml" ds:itemID="{231713DA-3813-4260-BA54-42E73231FA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Notice d'utilisation</vt:lpstr>
      <vt:lpstr>FAQ</vt:lpstr>
      <vt:lpstr>Registre des transactions</vt:lpstr>
      <vt:lpstr>Plan de trésorerie</vt:lpstr>
      <vt:lpstr>Budget réel</vt:lpstr>
      <vt:lpstr>Listes</vt:lpstr>
      <vt:lpstr>Budget prévisionnel taille 1</vt:lpstr>
      <vt:lpstr>Budget prévisionnel taille 2</vt:lpstr>
      <vt:lpstr>Budget prévisionnel taille 3</vt:lpstr>
      <vt:lpstr>Budget prévisionnel taille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Loïc Faugères</dc:creator>
  <cp:lastModifiedBy>Loïc Faugères</cp:lastModifiedBy>
  <dcterms:created xsi:type="dcterms:W3CDTF">2015-06-05T18:19:34Z</dcterms:created>
  <dcterms:modified xsi:type="dcterms:W3CDTF">2026-02-04T09:21:31Z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0x0101001B84D8D11ACFF646835E145C61BA8880</vt:lpwstr>
  </property>
  <property fmtid="{D5CDD505-2E9C-101B-9397-08002B2CF9AE}" pid="3" name="MediaServiceImageTags">
    <vt:lpwstr/>
  </property>
</Properties>
</file>